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/>
  </bookViews>
  <sheets>
    <sheet name="2 вариант" sheetId="1" r:id="rId1"/>
    <sheet name="Отчет о совместимости" sheetId="2" r:id="rId2"/>
  </sheets>
  <definedNames>
    <definedName name="Z_24F0DB88_4A2A_43C8_AC9C_E0E914DAA9BD_.wvu.Cols" localSheetId="0">('2 вариант'!#REF!,'2 вариант'!#REF!)</definedName>
    <definedName name="Z_9D6BD0A5_5C88_4286_B5C3_3E8085FFF86F_.wvu.Cols" localSheetId="0">'2 вариант'!#REF!</definedName>
    <definedName name="Z_9D6BD0A5_5C88_4286_B5C3_3E8085FFF86F_.wvu.Rows" localSheetId="0">('2 вариант'!#REF!,'2 вариант'!#REF!,'2 вариант'!#REF!,'2 вариант'!#REF!,'2 вариант'!#REF!,'2 вариант'!$151:$151,'2 вариант'!#REF!,'2 вариант'!$198:$199,'2 вариант'!#REF!,'2 вариант'!$219:$221,'2 вариант'!#REF!,'2 вариант'!#REF!,'2 вариант'!#REF!,'2 вариант'!#REF!,'2 вариант'!$272:$273,'2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вариант'!$426:$429,'2 вариант'!#REF!,'2 вариант'!#REF!,'2 вариант'!#REF!,'2 вариант'!#REF!,'2 вариант'!#REF!)</definedName>
    <definedName name="Z_C03C1C25_8658_4C6D_9F57_9A327FB08A7C_.wvu.Cols" localSheetId="0">'2 вариант'!#REF!</definedName>
    <definedName name="Z_C03C1C25_8658_4C6D_9F57_9A327FB08A7C_.wvu.PrintArea" localSheetId="0">'2 вариант'!$A:$G</definedName>
    <definedName name="Z_C03C1C25_8658_4C6D_9F57_9A327FB08A7C_.wvu.PrintTitles" localSheetId="0">'2 вариант'!#REF!</definedName>
    <definedName name="Z_C03C1C25_8658_4C6D_9F57_9A327FB08A7C_.wvu.Rows" localSheetId="0">('2 вариант'!#REF!,'2 вариант'!#REF!,'2 вариант'!#REF!,'2 вариант'!#REF!,'2 вариант'!#REF!,'2 вариант'!#REF!,'2 вариант'!#REF!,'2 вариант'!#REF!,'2 вариант'!$151:$151,'2 вариант'!$153:$154,'2 вариант'!#REF!,'2 вариант'!$198:$199,'2 вариант'!$219:$221,'2 вариант'!#REF!,'2 вариант'!#REF!,'2 вариант'!#REF!,'2 вариант'!$272:$273,'2 вариант'!#REF!,'2 вариант'!#REF!,'2 вариант'!#REF!,'2 вариант'!#REF!,'2 вариант'!#REF!,'2 вариант'!#REF!,'2 вариант'!#REF!,'2 вариант'!#REF!,'2 вариант'!#REF!,'2 вариант'!#REF!,'2 вариант'!$426:$429,'2 вариант'!#REF!,'2 вариант'!#REF!,'2 вариант'!$444:$445,'2 вариант'!#REF!,'2 вариант'!#REF!,'2 вариант'!#REF!,'2 вариант'!#REF!,'2 вариант'!#REF!)</definedName>
    <definedName name="Z_CB69468C_A463_442F_AF2B_70C62B6415FD_.wvu.Cols" localSheetId="0">'2 вариант'!#REF!</definedName>
    <definedName name="Z_CB69468C_A463_442F_AF2B_70C62B6415FD_.wvu.Rows" localSheetId="0">('2 вариант'!#REF!,'2 вариант'!#REF!,'2 вариант'!#REF!,'2 вариант'!#REF!,'2 вариант'!#REF!,'2 вариант'!$151:$151,'2 вариант'!#REF!,'2 вариант'!$198:$199,'2 вариант'!#REF!,'2 вариант'!$219:$221,'2 вариант'!#REF!,'2 вариант'!#REF!,'2 вариант'!#REF!,'2 вариант'!#REF!,'2 вариант'!$272:$273,'2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вариант'!#REF!,'2 вариант'!$426:$429,'2 вариант'!#REF!,'2 вариант'!#REF!,'2 вариант'!#REF!,'2 вариант'!#REF!,'2 вариант'!#REF!)</definedName>
    <definedName name="_xlnm.Print_Titles" localSheetId="0">'2 вариант'!$10:$11</definedName>
    <definedName name="_xlnm.Print_Area" localSheetId="0">'2 вариант'!$A$1:$M$564</definedName>
  </definedNames>
  <calcPr calcId="125725" fullCalcOnLoad="1"/>
</workbook>
</file>

<file path=xl/calcChain.xml><?xml version="1.0" encoding="utf-8"?>
<calcChain xmlns="http://schemas.openxmlformats.org/spreadsheetml/2006/main">
  <c r="M359" i="1"/>
  <c r="L542"/>
  <c r="L514"/>
  <c r="L391"/>
  <c r="L107"/>
  <c r="L106" s="1"/>
  <c r="L42"/>
  <c r="M517"/>
  <c r="M519"/>
  <c r="L516"/>
  <c r="L518"/>
  <c r="K518"/>
  <c r="K516"/>
  <c r="M516" s="1"/>
  <c r="M478"/>
  <c r="L477"/>
  <c r="K477"/>
  <c r="M413"/>
  <c r="M415"/>
  <c r="L414"/>
  <c r="L412"/>
  <c r="M412" s="1"/>
  <c r="K414"/>
  <c r="K412"/>
  <c r="K391"/>
  <c r="L356"/>
  <c r="K356"/>
  <c r="L352"/>
  <c r="K352"/>
  <c r="K278"/>
  <c r="K277" s="1"/>
  <c r="K276" s="1"/>
  <c r="K275" s="1"/>
  <c r="K274" s="1"/>
  <c r="K270"/>
  <c r="L261"/>
  <c r="L260"/>
  <c r="K261"/>
  <c r="L266"/>
  <c r="L270"/>
  <c r="K266"/>
  <c r="K260"/>
  <c r="L252"/>
  <c r="K252"/>
  <c r="M243"/>
  <c r="L242"/>
  <c r="K242"/>
  <c r="K198"/>
  <c r="M207"/>
  <c r="L204"/>
  <c r="K204"/>
  <c r="K184"/>
  <c r="K183" s="1"/>
  <c r="M92"/>
  <c r="L90"/>
  <c r="K90"/>
  <c r="K62"/>
  <c r="K44"/>
  <c r="L33"/>
  <c r="L32" s="1"/>
  <c r="K33"/>
  <c r="K32"/>
  <c r="K31"/>
  <c r="K30" s="1"/>
  <c r="L25"/>
  <c r="L24"/>
  <c r="L17"/>
  <c r="L16" s="1"/>
  <c r="K22"/>
  <c r="K21"/>
  <c r="K25"/>
  <c r="K24" s="1"/>
  <c r="K17"/>
  <c r="K16"/>
  <c r="M421"/>
  <c r="L420"/>
  <c r="M420" s="1"/>
  <c r="K420"/>
  <c r="M432"/>
  <c r="L431"/>
  <c r="K431"/>
  <c r="L418"/>
  <c r="L416"/>
  <c r="K416"/>
  <c r="K418"/>
  <c r="M417"/>
  <c r="M419"/>
  <c r="K196"/>
  <c r="L192"/>
  <c r="L202"/>
  <c r="K202"/>
  <c r="K179"/>
  <c r="K178" s="1"/>
  <c r="L139"/>
  <c r="K139"/>
  <c r="L141"/>
  <c r="K141"/>
  <c r="L143"/>
  <c r="L134"/>
  <c r="L133" s="1"/>
  <c r="L99"/>
  <c r="L98"/>
  <c r="L49"/>
  <c r="L48" s="1"/>
  <c r="K49"/>
  <c r="K48"/>
  <c r="K47"/>
  <c r="K46" s="1"/>
  <c r="K80"/>
  <c r="L93"/>
  <c r="K93"/>
  <c r="M94"/>
  <c r="K550"/>
  <c r="K552"/>
  <c r="K549"/>
  <c r="K557"/>
  <c r="K556" s="1"/>
  <c r="K542"/>
  <c r="K541" s="1"/>
  <c r="K539"/>
  <c r="K538"/>
  <c r="K524"/>
  <c r="K526"/>
  <c r="K528"/>
  <c r="K530"/>
  <c r="K532"/>
  <c r="K534"/>
  <c r="K512"/>
  <c r="K514"/>
  <c r="K504"/>
  <c r="K503" s="1"/>
  <c r="K497"/>
  <c r="K499"/>
  <c r="K494"/>
  <c r="K486"/>
  <c r="M481"/>
  <c r="K479"/>
  <c r="K469"/>
  <c r="K468"/>
  <c r="K467" s="1"/>
  <c r="K461"/>
  <c r="L427"/>
  <c r="L465"/>
  <c r="L463"/>
  <c r="K465"/>
  <c r="K463"/>
  <c r="M464"/>
  <c r="M466"/>
  <c r="K453"/>
  <c r="K449"/>
  <c r="K444"/>
  <c r="K442"/>
  <c r="K440"/>
  <c r="K438"/>
  <c r="K436"/>
  <c r="K429"/>
  <c r="K425"/>
  <c r="K427"/>
  <c r="M428"/>
  <c r="K410"/>
  <c r="K408"/>
  <c r="K406"/>
  <c r="K404"/>
  <c r="K402"/>
  <c r="K396"/>
  <c r="K395"/>
  <c r="K393"/>
  <c r="K389"/>
  <c r="K387"/>
  <c r="K385"/>
  <c r="K383"/>
  <c r="K381"/>
  <c r="M392"/>
  <c r="K360"/>
  <c r="K351"/>
  <c r="K350" s="1"/>
  <c r="K349" s="1"/>
  <c r="K348" s="1"/>
  <c r="K367"/>
  <c r="K369"/>
  <c r="K371"/>
  <c r="K373"/>
  <c r="L341"/>
  <c r="L340"/>
  <c r="K341"/>
  <c r="K340" s="1"/>
  <c r="K336"/>
  <c r="K334"/>
  <c r="K332"/>
  <c r="K327"/>
  <c r="K324"/>
  <c r="K321"/>
  <c r="K319"/>
  <c r="K317"/>
  <c r="K315"/>
  <c r="K313"/>
  <c r="K311"/>
  <c r="K309"/>
  <c r="K307"/>
  <c r="K305"/>
  <c r="K303"/>
  <c r="K301"/>
  <c r="K299"/>
  <c r="K297"/>
  <c r="K293"/>
  <c r="K286"/>
  <c r="K285"/>
  <c r="G194"/>
  <c r="G192" s="1"/>
  <c r="G191" s="1"/>
  <c r="G190" s="1"/>
  <c r="G189" s="1"/>
  <c r="H194"/>
  <c r="H192" s="1"/>
  <c r="I194"/>
  <c r="I192" s="1"/>
  <c r="I191" s="1"/>
  <c r="I190" s="1"/>
  <c r="I189" s="1"/>
  <c r="G196"/>
  <c r="I196"/>
  <c r="H197"/>
  <c r="H196" s="1"/>
  <c r="I198"/>
  <c r="G199"/>
  <c r="G198"/>
  <c r="H199"/>
  <c r="H198"/>
  <c r="G200"/>
  <c r="H200"/>
  <c r="I200"/>
  <c r="G202"/>
  <c r="H202"/>
  <c r="I202"/>
  <c r="G204"/>
  <c r="H204"/>
  <c r="I204"/>
  <c r="G215"/>
  <c r="H215"/>
  <c r="I215"/>
  <c r="G216"/>
  <c r="H216"/>
  <c r="I216"/>
  <c r="G217"/>
  <c r="H217"/>
  <c r="I217"/>
  <c r="G220"/>
  <c r="H220"/>
  <c r="I220"/>
  <c r="G221"/>
  <c r="G218"/>
  <c r="H221"/>
  <c r="I221"/>
  <c r="G222"/>
  <c r="H222"/>
  <c r="I222"/>
  <c r="G226"/>
  <c r="I226"/>
  <c r="H227"/>
  <c r="H226" s="1"/>
  <c r="H212" s="1"/>
  <c r="H211" s="1"/>
  <c r="H210" s="1"/>
  <c r="G231"/>
  <c r="G230" s="1"/>
  <c r="H231"/>
  <c r="H230"/>
  <c r="I231"/>
  <c r="I230"/>
  <c r="G232"/>
  <c r="H233"/>
  <c r="I233"/>
  <c r="H234"/>
  <c r="I234"/>
  <c r="G235"/>
  <c r="H235"/>
  <c r="I235"/>
  <c r="G247"/>
  <c r="G246"/>
  <c r="H247"/>
  <c r="H246"/>
  <c r="I247"/>
  <c r="I246"/>
  <c r="G252"/>
  <c r="H252"/>
  <c r="I252"/>
  <c r="G256"/>
  <c r="H256"/>
  <c r="I256"/>
  <c r="G261"/>
  <c r="G260"/>
  <c r="H263"/>
  <c r="H261"/>
  <c r="H260" s="1"/>
  <c r="I263"/>
  <c r="I261" s="1"/>
  <c r="I260" s="1"/>
  <c r="G267"/>
  <c r="H267"/>
  <c r="I267"/>
  <c r="G268"/>
  <c r="H268"/>
  <c r="I268"/>
  <c r="G269"/>
  <c r="H269"/>
  <c r="I269"/>
  <c r="G271"/>
  <c r="G270" s="1"/>
  <c r="G265" s="1"/>
  <c r="G259" s="1"/>
  <c r="G258" s="1"/>
  <c r="H271"/>
  <c r="H270" s="1"/>
  <c r="H265" s="1"/>
  <c r="I271"/>
  <c r="I270" s="1"/>
  <c r="I265" s="1"/>
  <c r="G278"/>
  <c r="G277" s="1"/>
  <c r="G276" s="1"/>
  <c r="G275" s="1"/>
  <c r="G274" s="1"/>
  <c r="H278"/>
  <c r="H277"/>
  <c r="H276" s="1"/>
  <c r="H275" s="1"/>
  <c r="H274" s="1"/>
  <c r="I278"/>
  <c r="I277" s="1"/>
  <c r="I276" s="1"/>
  <c r="I275" s="1"/>
  <c r="I274" s="1"/>
  <c r="J194"/>
  <c r="J192"/>
  <c r="J197"/>
  <c r="J196"/>
  <c r="J198"/>
  <c r="J201"/>
  <c r="J200" s="1"/>
  <c r="J202"/>
  <c r="J205"/>
  <c r="J206"/>
  <c r="J215"/>
  <c r="J216"/>
  <c r="J218"/>
  <c r="J222"/>
  <c r="J229"/>
  <c r="J226"/>
  <c r="J230"/>
  <c r="J232"/>
  <c r="J235"/>
  <c r="J248"/>
  <c r="J250"/>
  <c r="J253"/>
  <c r="J254"/>
  <c r="J256"/>
  <c r="J262"/>
  <c r="J263"/>
  <c r="J268"/>
  <c r="J266"/>
  <c r="J272"/>
  <c r="J278"/>
  <c r="L247"/>
  <c r="L246"/>
  <c r="M249"/>
  <c r="M240"/>
  <c r="M241"/>
  <c r="L239"/>
  <c r="K239"/>
  <c r="L235"/>
  <c r="L218"/>
  <c r="L232"/>
  <c r="K232"/>
  <c r="L226"/>
  <c r="M228"/>
  <c r="M223"/>
  <c r="L222"/>
  <c r="L213"/>
  <c r="L212" s="1"/>
  <c r="M209"/>
  <c r="L208"/>
  <c r="K208"/>
  <c r="K173"/>
  <c r="K172"/>
  <c r="K171" s="1"/>
  <c r="K167"/>
  <c r="K166" s="1"/>
  <c r="K38"/>
  <c r="K115"/>
  <c r="M115" s="1"/>
  <c r="L114"/>
  <c r="J114"/>
  <c r="I114"/>
  <c r="H114"/>
  <c r="G114"/>
  <c r="K113"/>
  <c r="M113"/>
  <c r="L112"/>
  <c r="L111"/>
  <c r="L110" s="1"/>
  <c r="J112"/>
  <c r="J111" s="1"/>
  <c r="I112"/>
  <c r="H112"/>
  <c r="H111"/>
  <c r="H110" s="1"/>
  <c r="G112"/>
  <c r="L76"/>
  <c r="K76"/>
  <c r="M77"/>
  <c r="M26"/>
  <c r="L293"/>
  <c r="L336"/>
  <c r="M336" s="1"/>
  <c r="L334"/>
  <c r="L332"/>
  <c r="M332"/>
  <c r="L327"/>
  <c r="M327"/>
  <c r="L324"/>
  <c r="L321"/>
  <c r="M321" s="1"/>
  <c r="L319"/>
  <c r="L317"/>
  <c r="L315"/>
  <c r="L313"/>
  <c r="L311"/>
  <c r="L309"/>
  <c r="L307"/>
  <c r="M307" s="1"/>
  <c r="L305"/>
  <c r="M305" s="1"/>
  <c r="L303"/>
  <c r="L301"/>
  <c r="M301"/>
  <c r="L299"/>
  <c r="L297"/>
  <c r="M297" s="1"/>
  <c r="L286"/>
  <c r="L285" s="1"/>
  <c r="L469"/>
  <c r="L461"/>
  <c r="L460"/>
  <c r="L459" s="1"/>
  <c r="L453"/>
  <c r="L449"/>
  <c r="L444"/>
  <c r="L442"/>
  <c r="M442"/>
  <c r="L440"/>
  <c r="L438"/>
  <c r="M438" s="1"/>
  <c r="L436"/>
  <c r="L429"/>
  <c r="L425"/>
  <c r="L410"/>
  <c r="L408"/>
  <c r="M408" s="1"/>
  <c r="L406"/>
  <c r="M406" s="1"/>
  <c r="L404"/>
  <c r="M404" s="1"/>
  <c r="L402"/>
  <c r="L396"/>
  <c r="L395"/>
  <c r="M395" s="1"/>
  <c r="L393"/>
  <c r="M393" s="1"/>
  <c r="L389"/>
  <c r="L387"/>
  <c r="L385"/>
  <c r="L383"/>
  <c r="M383"/>
  <c r="L381"/>
  <c r="L557"/>
  <c r="L552"/>
  <c r="M552"/>
  <c r="L550"/>
  <c r="M550"/>
  <c r="L541"/>
  <c r="L539"/>
  <c r="L538" s="1"/>
  <c r="L534"/>
  <c r="L532"/>
  <c r="M532"/>
  <c r="L530"/>
  <c r="L528"/>
  <c r="L526"/>
  <c r="L524"/>
  <c r="M524" s="1"/>
  <c r="L512"/>
  <c r="L511" s="1"/>
  <c r="L504"/>
  <c r="L503"/>
  <c r="L499"/>
  <c r="L497"/>
  <c r="L494"/>
  <c r="L486"/>
  <c r="L485" s="1"/>
  <c r="L479"/>
  <c r="L476" s="1"/>
  <c r="L373"/>
  <c r="L371"/>
  <c r="M371"/>
  <c r="L369"/>
  <c r="M369"/>
  <c r="L367"/>
  <c r="L360"/>
  <c r="M360" s="1"/>
  <c r="L278"/>
  <c r="L277" s="1"/>
  <c r="L256"/>
  <c r="L230"/>
  <c r="L198"/>
  <c r="M198" s="1"/>
  <c r="L196"/>
  <c r="L184"/>
  <c r="L183"/>
  <c r="L179"/>
  <c r="L178"/>
  <c r="L177" s="1"/>
  <c r="L173"/>
  <c r="L172"/>
  <c r="L167"/>
  <c r="L166"/>
  <c r="L165" s="1"/>
  <c r="L159"/>
  <c r="L158" s="1"/>
  <c r="L153"/>
  <c r="L151"/>
  <c r="L149"/>
  <c r="L121"/>
  <c r="L120" s="1"/>
  <c r="L118"/>
  <c r="L117" s="1"/>
  <c r="L88"/>
  <c r="L85"/>
  <c r="L82"/>
  <c r="L80"/>
  <c r="M80" s="1"/>
  <c r="L78"/>
  <c r="L72"/>
  <c r="L70"/>
  <c r="L68"/>
  <c r="L66"/>
  <c r="L62"/>
  <c r="L59"/>
  <c r="L58" s="1"/>
  <c r="L54"/>
  <c r="L53" s="1"/>
  <c r="L44"/>
  <c r="L38"/>
  <c r="L22"/>
  <c r="M22" s="1"/>
  <c r="G17"/>
  <c r="G16" s="1"/>
  <c r="H17"/>
  <c r="H16" s="1"/>
  <c r="I17"/>
  <c r="I16" s="1"/>
  <c r="J17"/>
  <c r="J16" s="1"/>
  <c r="M18"/>
  <c r="M19"/>
  <c r="M20"/>
  <c r="G22"/>
  <c r="G21"/>
  <c r="H22"/>
  <c r="H21"/>
  <c r="I22"/>
  <c r="I21"/>
  <c r="J22"/>
  <c r="J21"/>
  <c r="M23"/>
  <c r="G25"/>
  <c r="G24" s="1"/>
  <c r="H25"/>
  <c r="H24" s="1"/>
  <c r="I25"/>
  <c r="I24" s="1"/>
  <c r="J25"/>
  <c r="J24" s="1"/>
  <c r="G33"/>
  <c r="G32" s="1"/>
  <c r="G31" s="1"/>
  <c r="G30" s="1"/>
  <c r="H33"/>
  <c r="H32" s="1"/>
  <c r="H31" s="1"/>
  <c r="H30" s="1"/>
  <c r="I33"/>
  <c r="I32" s="1"/>
  <c r="I31" s="1"/>
  <c r="I30" s="1"/>
  <c r="J33"/>
  <c r="J32" s="1"/>
  <c r="J31" s="1"/>
  <c r="J30" s="1"/>
  <c r="M34"/>
  <c r="G39"/>
  <c r="H39"/>
  <c r="I39"/>
  <c r="J39"/>
  <c r="G40"/>
  <c r="H40"/>
  <c r="I40"/>
  <c r="J40"/>
  <c r="M40"/>
  <c r="M41"/>
  <c r="G42"/>
  <c r="H42"/>
  <c r="I42"/>
  <c r="J42"/>
  <c r="K43"/>
  <c r="M43"/>
  <c r="G44"/>
  <c r="H44"/>
  <c r="I44"/>
  <c r="J45"/>
  <c r="J44" s="1"/>
  <c r="J37" s="1"/>
  <c r="J36" s="1"/>
  <c r="J35" s="1"/>
  <c r="G49"/>
  <c r="G48" s="1"/>
  <c r="G47" s="1"/>
  <c r="G46" s="1"/>
  <c r="H49"/>
  <c r="H48" s="1"/>
  <c r="H47" s="1"/>
  <c r="H46" s="1"/>
  <c r="I49"/>
  <c r="I48" s="1"/>
  <c r="I47" s="1"/>
  <c r="I46" s="1"/>
  <c r="J49"/>
  <c r="J48" s="1"/>
  <c r="J47" s="1"/>
  <c r="J46" s="1"/>
  <c r="M50"/>
  <c r="G54"/>
  <c r="G53"/>
  <c r="K53" s="1"/>
  <c r="H54"/>
  <c r="H53"/>
  <c r="H52" s="1"/>
  <c r="H51" s="1"/>
  <c r="I54"/>
  <c r="I53"/>
  <c r="I52" s="1"/>
  <c r="I51" s="1"/>
  <c r="J54"/>
  <c r="J53"/>
  <c r="J52" s="1"/>
  <c r="M55"/>
  <c r="G59"/>
  <c r="G58" s="1"/>
  <c r="H59"/>
  <c r="H58" s="1"/>
  <c r="H57" s="1"/>
  <c r="I59"/>
  <c r="I58" s="1"/>
  <c r="I57" s="1"/>
  <c r="J59"/>
  <c r="J58" s="1"/>
  <c r="K60"/>
  <c r="M60" s="1"/>
  <c r="G63"/>
  <c r="H63"/>
  <c r="H62"/>
  <c r="I63"/>
  <c r="G64"/>
  <c r="H64"/>
  <c r="I64"/>
  <c r="I62" s="1"/>
  <c r="I61" s="1"/>
  <c r="J64"/>
  <c r="J62" s="1"/>
  <c r="J61" s="1"/>
  <c r="M65"/>
  <c r="G66"/>
  <c r="H66"/>
  <c r="I66"/>
  <c r="J66"/>
  <c r="K67"/>
  <c r="M67"/>
  <c r="G68"/>
  <c r="H68"/>
  <c r="I68"/>
  <c r="J68"/>
  <c r="K69"/>
  <c r="M69"/>
  <c r="G70"/>
  <c r="H70"/>
  <c r="I70"/>
  <c r="J71"/>
  <c r="J70" s="1"/>
  <c r="K70" s="1"/>
  <c r="G72"/>
  <c r="H72"/>
  <c r="I72"/>
  <c r="J72"/>
  <c r="K73"/>
  <c r="M73" s="1"/>
  <c r="G78"/>
  <c r="H78"/>
  <c r="I78"/>
  <c r="J78"/>
  <c r="K79"/>
  <c r="M79" s="1"/>
  <c r="G80"/>
  <c r="H80"/>
  <c r="I80"/>
  <c r="J80"/>
  <c r="M81"/>
  <c r="G82"/>
  <c r="H82"/>
  <c r="I82"/>
  <c r="J82"/>
  <c r="K83"/>
  <c r="M83"/>
  <c r="K84"/>
  <c r="M84"/>
  <c r="G85"/>
  <c r="H85"/>
  <c r="I85"/>
  <c r="J86"/>
  <c r="J87"/>
  <c r="M87"/>
  <c r="G88"/>
  <c r="H88"/>
  <c r="I88"/>
  <c r="J88"/>
  <c r="M89"/>
  <c r="G90"/>
  <c r="H90"/>
  <c r="I90"/>
  <c r="J91"/>
  <c r="J90"/>
  <c r="G100"/>
  <c r="H100"/>
  <c r="I100"/>
  <c r="G101"/>
  <c r="G99" s="1"/>
  <c r="G98" s="1"/>
  <c r="G97" s="1"/>
  <c r="G96" s="1"/>
  <c r="G95" s="1"/>
  <c r="H101"/>
  <c r="I101"/>
  <c r="J101"/>
  <c r="J99" s="1"/>
  <c r="J98" s="1"/>
  <c r="J97" s="1"/>
  <c r="J96" s="1"/>
  <c r="J95" s="1"/>
  <c r="H102"/>
  <c r="I102"/>
  <c r="M102"/>
  <c r="G107"/>
  <c r="G106"/>
  <c r="G105" s="1"/>
  <c r="H107"/>
  <c r="H106"/>
  <c r="H105" s="1"/>
  <c r="H104" s="1"/>
  <c r="I107"/>
  <c r="I106"/>
  <c r="I105" s="1"/>
  <c r="I104" s="1"/>
  <c r="I103" s="1"/>
  <c r="J107"/>
  <c r="J106"/>
  <c r="J105" s="1"/>
  <c r="J104" s="1"/>
  <c r="K108"/>
  <c r="M108"/>
  <c r="G118"/>
  <c r="H118"/>
  <c r="H117" s="1"/>
  <c r="H116" s="1"/>
  <c r="H109" s="1"/>
  <c r="I118"/>
  <c r="I117" s="1"/>
  <c r="I116" s="1"/>
  <c r="I109" s="1"/>
  <c r="J118"/>
  <c r="J117" s="1"/>
  <c r="J116" s="1"/>
  <c r="J109" s="1"/>
  <c r="K119"/>
  <c r="M119" s="1"/>
  <c r="G121"/>
  <c r="H121"/>
  <c r="H120"/>
  <c r="I121"/>
  <c r="I120"/>
  <c r="J122"/>
  <c r="J123"/>
  <c r="K123" s="1"/>
  <c r="M123" s="1"/>
  <c r="G124"/>
  <c r="H124"/>
  <c r="I124"/>
  <c r="J124"/>
  <c r="K125"/>
  <c r="M125"/>
  <c r="G126"/>
  <c r="H126"/>
  <c r="I126"/>
  <c r="J126"/>
  <c r="K127"/>
  <c r="M127"/>
  <c r="G134"/>
  <c r="G133"/>
  <c r="H134"/>
  <c r="H133"/>
  <c r="I134"/>
  <c r="I133"/>
  <c r="I132" s="1"/>
  <c r="I131" s="1"/>
  <c r="I130" s="1"/>
  <c r="J134"/>
  <c r="K134"/>
  <c r="K133" s="1"/>
  <c r="K132" s="1"/>
  <c r="K131" s="1"/>
  <c r="K130" s="1"/>
  <c r="M136"/>
  <c r="M137"/>
  <c r="G139"/>
  <c r="H139"/>
  <c r="I139"/>
  <c r="J139"/>
  <c r="M140"/>
  <c r="G141"/>
  <c r="H141"/>
  <c r="I141"/>
  <c r="J141"/>
  <c r="M142"/>
  <c r="G143"/>
  <c r="H143"/>
  <c r="I143"/>
  <c r="J144"/>
  <c r="M144"/>
  <c r="J145"/>
  <c r="G149"/>
  <c r="H149"/>
  <c r="I149"/>
  <c r="J149"/>
  <c r="K150"/>
  <c r="M150" s="1"/>
  <c r="G151"/>
  <c r="H151"/>
  <c r="I151"/>
  <c r="J151"/>
  <c r="K152"/>
  <c r="M152" s="1"/>
  <c r="G153"/>
  <c r="M153"/>
  <c r="H153"/>
  <c r="I153"/>
  <c r="J153"/>
  <c r="M154"/>
  <c r="G159"/>
  <c r="G158" s="1"/>
  <c r="H159"/>
  <c r="H158" s="1"/>
  <c r="H157" s="1"/>
  <c r="H156" s="1"/>
  <c r="H155" s="1"/>
  <c r="I159"/>
  <c r="I158"/>
  <c r="I157" s="1"/>
  <c r="I156" s="1"/>
  <c r="I155" s="1"/>
  <c r="J159"/>
  <c r="K160"/>
  <c r="M160"/>
  <c r="G167"/>
  <c r="G166"/>
  <c r="G165" s="1"/>
  <c r="G164" s="1"/>
  <c r="H167"/>
  <c r="H166"/>
  <c r="H165" s="1"/>
  <c r="H164" s="1"/>
  <c r="H163" s="1"/>
  <c r="I167"/>
  <c r="I166"/>
  <c r="I165" s="1"/>
  <c r="I164" s="1"/>
  <c r="J168"/>
  <c r="J167"/>
  <c r="J166" s="1"/>
  <c r="J165" s="1"/>
  <c r="J164" s="1"/>
  <c r="M169"/>
  <c r="M170"/>
  <c r="G173"/>
  <c r="G172" s="1"/>
  <c r="G171" s="1"/>
  <c r="H173"/>
  <c r="H172"/>
  <c r="H171" s="1"/>
  <c r="I173"/>
  <c r="I172" s="1"/>
  <c r="I171" s="1"/>
  <c r="J173"/>
  <c r="J172"/>
  <c r="J171" s="1"/>
  <c r="M174"/>
  <c r="G179"/>
  <c r="G178"/>
  <c r="G177" s="1"/>
  <c r="G176" s="1"/>
  <c r="G175" s="1"/>
  <c r="H179"/>
  <c r="H178" s="1"/>
  <c r="H177" s="1"/>
  <c r="H176" s="1"/>
  <c r="H175" s="1"/>
  <c r="I179"/>
  <c r="I178"/>
  <c r="I177" s="1"/>
  <c r="I176" s="1"/>
  <c r="I175" s="1"/>
  <c r="J180"/>
  <c r="J179" s="1"/>
  <c r="J178" s="1"/>
  <c r="J177" s="1"/>
  <c r="J176" s="1"/>
  <c r="J175" s="1"/>
  <c r="G184"/>
  <c r="G183" s="1"/>
  <c r="G182" s="1"/>
  <c r="G181" s="1"/>
  <c r="H184"/>
  <c r="H183" s="1"/>
  <c r="H182" s="1"/>
  <c r="H181" s="1"/>
  <c r="I184"/>
  <c r="I183" s="1"/>
  <c r="I182" s="1"/>
  <c r="I181" s="1"/>
  <c r="J185"/>
  <c r="J184" s="1"/>
  <c r="J183" s="1"/>
  <c r="J182" s="1"/>
  <c r="J181" s="1"/>
  <c r="K192"/>
  <c r="M192"/>
  <c r="M193"/>
  <c r="M197"/>
  <c r="M199"/>
  <c r="K201"/>
  <c r="M203"/>
  <c r="K206"/>
  <c r="M206" s="1"/>
  <c r="M214"/>
  <c r="M219"/>
  <c r="M220"/>
  <c r="M221"/>
  <c r="M224"/>
  <c r="K225"/>
  <c r="K227"/>
  <c r="M227" s="1"/>
  <c r="M233"/>
  <c r="M234"/>
  <c r="M236"/>
  <c r="M237"/>
  <c r="K235"/>
  <c r="M235" s="1"/>
  <c r="M248"/>
  <c r="K250"/>
  <c r="M250"/>
  <c r="M253"/>
  <c r="M254"/>
  <c r="M255"/>
  <c r="K257"/>
  <c r="M257" s="1"/>
  <c r="M263"/>
  <c r="M267"/>
  <c r="M269"/>
  <c r="M271"/>
  <c r="M273"/>
  <c r="M279"/>
  <c r="M287"/>
  <c r="M288"/>
  <c r="M294"/>
  <c r="M295"/>
  <c r="M296"/>
  <c r="M298"/>
  <c r="M300"/>
  <c r="M302"/>
  <c r="M304"/>
  <c r="M306"/>
  <c r="M308"/>
  <c r="M310"/>
  <c r="M312"/>
  <c r="M314"/>
  <c r="M316"/>
  <c r="M318"/>
  <c r="M320"/>
  <c r="M322"/>
  <c r="M326"/>
  <c r="M335"/>
  <c r="M337"/>
  <c r="M344"/>
  <c r="M345"/>
  <c r="M354"/>
  <c r="M357"/>
  <c r="K358"/>
  <c r="M358"/>
  <c r="M362"/>
  <c r="M368"/>
  <c r="M370"/>
  <c r="M372"/>
  <c r="M384"/>
  <c r="M388"/>
  <c r="M390"/>
  <c r="M397"/>
  <c r="M403"/>
  <c r="M405"/>
  <c r="M407"/>
  <c r="M409"/>
  <c r="M411"/>
  <c r="M426"/>
  <c r="M430"/>
  <c r="M439"/>
  <c r="M441"/>
  <c r="M443"/>
  <c r="M450"/>
  <c r="M451"/>
  <c r="M452"/>
  <c r="M454"/>
  <c r="M455"/>
  <c r="M456"/>
  <c r="M470"/>
  <c r="M488"/>
  <c r="M489"/>
  <c r="M496"/>
  <c r="M498"/>
  <c r="M505"/>
  <c r="M513"/>
  <c r="M515"/>
  <c r="M527"/>
  <c r="M530"/>
  <c r="M531"/>
  <c r="M533"/>
  <c r="M534"/>
  <c r="M535"/>
  <c r="M545"/>
  <c r="M551"/>
  <c r="M553"/>
  <c r="A25" i="2"/>
  <c r="B25"/>
  <c r="C25"/>
  <c r="M394" i="1"/>
  <c r="M386"/>
  <c r="M487"/>
  <c r="M480"/>
  <c r="M356"/>
  <c r="M317"/>
  <c r="M286"/>
  <c r="J148"/>
  <c r="J147" s="1"/>
  <c r="J146" s="1"/>
  <c r="M168"/>
  <c r="M374"/>
  <c r="M361"/>
  <c r="M353"/>
  <c r="M328"/>
  <c r="M262"/>
  <c r="K229"/>
  <c r="M205"/>
  <c r="J158"/>
  <c r="M91"/>
  <c r="M86"/>
  <c r="M64"/>
  <c r="M63"/>
  <c r="M39"/>
  <c r="M25"/>
  <c r="K122"/>
  <c r="M122"/>
  <c r="M385"/>
  <c r="M195"/>
  <c r="M238"/>
  <c r="M264"/>
  <c r="M528"/>
  <c r="M453"/>
  <c r="M387"/>
  <c r="H75"/>
  <c r="H74" s="1"/>
  <c r="J38"/>
  <c r="H38"/>
  <c r="H37"/>
  <c r="H36" s="1"/>
  <c r="H35" s="1"/>
  <c r="M525"/>
  <c r="M444"/>
  <c r="M343"/>
  <c r="M315"/>
  <c r="M313"/>
  <c r="M299"/>
  <c r="I138"/>
  <c r="K124"/>
  <c r="M124" s="1"/>
  <c r="M101"/>
  <c r="I99"/>
  <c r="I98"/>
  <c r="I97" s="1"/>
  <c r="I96" s="1"/>
  <c r="I95" s="1"/>
  <c r="K82"/>
  <c r="M82" s="1"/>
  <c r="I38"/>
  <c r="I37" s="1"/>
  <c r="I36" s="1"/>
  <c r="I35" s="1"/>
  <c r="M17"/>
  <c r="M425"/>
  <c r="M396"/>
  <c r="M382"/>
  <c r="M324"/>
  <c r="K325"/>
  <c r="M449"/>
  <c r="M558"/>
  <c r="M544"/>
  <c r="M540"/>
  <c r="M500"/>
  <c r="M445"/>
  <c r="M437"/>
  <c r="M342"/>
  <c r="M293"/>
  <c r="J133"/>
  <c r="M185"/>
  <c r="M180"/>
  <c r="M173"/>
  <c r="K159"/>
  <c r="M159"/>
  <c r="M45"/>
  <c r="M436"/>
  <c r="K247"/>
  <c r="M529"/>
  <c r="M504"/>
  <c r="K151"/>
  <c r="K218"/>
  <c r="M218"/>
  <c r="M495"/>
  <c r="M440"/>
  <c r="M429"/>
  <c r="M410"/>
  <c r="M311"/>
  <c r="M303"/>
  <c r="M319"/>
  <c r="M139"/>
  <c r="G62"/>
  <c r="G61"/>
  <c r="K59"/>
  <c r="M59"/>
  <c r="M49"/>
  <c r="M33"/>
  <c r="J121"/>
  <c r="J120"/>
  <c r="K68"/>
  <c r="M68"/>
  <c r="M44"/>
  <c r="K112"/>
  <c r="M112" s="1"/>
  <c r="M334"/>
  <c r="K256"/>
  <c r="M216"/>
  <c r="G111"/>
  <c r="G110"/>
  <c r="M184"/>
  <c r="M499"/>
  <c r="M179"/>
  <c r="M268"/>
  <c r="K231"/>
  <c r="M231"/>
  <c r="L331"/>
  <c r="M514"/>
  <c r="M462"/>
  <c r="M402"/>
  <c r="M352"/>
  <c r="M204"/>
  <c r="M202"/>
  <c r="M494"/>
  <c r="M62"/>
  <c r="M526"/>
  <c r="M389"/>
  <c r="M373"/>
  <c r="M215"/>
  <c r="K149"/>
  <c r="M149" s="1"/>
  <c r="M141"/>
  <c r="K107"/>
  <c r="M107" s="1"/>
  <c r="M88"/>
  <c r="K72"/>
  <c r="K71"/>
  <c r="M71" s="1"/>
  <c r="K42"/>
  <c r="M42" s="1"/>
  <c r="L323"/>
  <c r="I75"/>
  <c r="I74" s="1"/>
  <c r="M341"/>
  <c r="M543"/>
  <c r="M252"/>
  <c r="M167"/>
  <c r="M333"/>
  <c r="M194"/>
  <c r="K485"/>
  <c r="K484" s="1"/>
  <c r="K483" s="1"/>
  <c r="K482" s="1"/>
  <c r="K143"/>
  <c r="K138" s="1"/>
  <c r="M138" s="1"/>
  <c r="M145"/>
  <c r="M135"/>
  <c r="M100"/>
  <c r="K292"/>
  <c r="K331"/>
  <c r="K330"/>
  <c r="K329" s="1"/>
  <c r="K366"/>
  <c r="K365" s="1"/>
  <c r="K364" s="1"/>
  <c r="K363" s="1"/>
  <c r="L292"/>
  <c r="M309"/>
  <c r="M134"/>
  <c r="J157"/>
  <c r="J156"/>
  <c r="J155" s="1"/>
  <c r="M217"/>
  <c r="K213"/>
  <c r="G75"/>
  <c r="G74" s="1"/>
  <c r="K78"/>
  <c r="M78" s="1"/>
  <c r="G38"/>
  <c r="G37"/>
  <c r="G36" s="1"/>
  <c r="G35" s="1"/>
  <c r="L21"/>
  <c r="M21"/>
  <c r="M151"/>
  <c r="L148"/>
  <c r="L147"/>
  <c r="L146" s="1"/>
  <c r="M261"/>
  <c r="M479"/>
  <c r="L330"/>
  <c r="L329" s="1"/>
  <c r="M225"/>
  <c r="K222"/>
  <c r="M222" s="1"/>
  <c r="G148"/>
  <c r="G147" s="1"/>
  <c r="G146" s="1"/>
  <c r="H213"/>
  <c r="G213"/>
  <c r="L191"/>
  <c r="L190"/>
  <c r="L189" s="1"/>
  <c r="K99"/>
  <c r="M99" s="1"/>
  <c r="K323"/>
  <c r="L424"/>
  <c r="L423"/>
  <c r="L422" s="1"/>
  <c r="M422" s="1"/>
  <c r="M213"/>
  <c r="K98"/>
  <c r="K97" s="1"/>
  <c r="L401"/>
  <c r="L400" s="1"/>
  <c r="H251"/>
  <c r="H218"/>
  <c r="I218"/>
  <c r="L251"/>
  <c r="K265"/>
  <c r="L265"/>
  <c r="M431"/>
  <c r="K251"/>
  <c r="M76"/>
  <c r="I251"/>
  <c r="I232"/>
  <c r="K523"/>
  <c r="K522"/>
  <c r="K521" s="1"/>
  <c r="L138"/>
  <c r="M242"/>
  <c r="K259"/>
  <c r="K258" s="1"/>
  <c r="I148"/>
  <c r="I147" s="1"/>
  <c r="I146" s="1"/>
  <c r="H148"/>
  <c r="H147"/>
  <c r="H146" s="1"/>
  <c r="J143"/>
  <c r="J138" s="1"/>
  <c r="J132" s="1"/>
  <c r="J131" s="1"/>
  <c r="J130" s="1"/>
  <c r="H138"/>
  <c r="K66"/>
  <c r="M66"/>
  <c r="L448"/>
  <c r="L447"/>
  <c r="G251"/>
  <c r="M416"/>
  <c r="M418"/>
  <c r="K476"/>
  <c r="K493"/>
  <c r="K492" s="1"/>
  <c r="K491" s="1"/>
  <c r="M477"/>
  <c r="M465"/>
  <c r="M463"/>
  <c r="K460"/>
  <c r="K448"/>
  <c r="K447" s="1"/>
  <c r="K435"/>
  <c r="K434"/>
  <c r="K433" s="1"/>
  <c r="K424"/>
  <c r="M424" s="1"/>
  <c r="K401"/>
  <c r="K400" s="1"/>
  <c r="K399" s="1"/>
  <c r="K380"/>
  <c r="K379"/>
  <c r="K378" s="1"/>
  <c r="K377" s="1"/>
  <c r="M331"/>
  <c r="M229"/>
  <c r="K226"/>
  <c r="M226"/>
  <c r="G120"/>
  <c r="K120" s="1"/>
  <c r="K121"/>
  <c r="M121" s="1"/>
  <c r="L523"/>
  <c r="L522" s="1"/>
  <c r="L556"/>
  <c r="L555"/>
  <c r="M557"/>
  <c r="J277"/>
  <c r="J276" s="1"/>
  <c r="J275" s="1"/>
  <c r="J274" s="1"/>
  <c r="M278"/>
  <c r="M72"/>
  <c r="K37"/>
  <c r="K36" s="1"/>
  <c r="K35" s="1"/>
  <c r="J204"/>
  <c r="G266"/>
  <c r="K246"/>
  <c r="K245" s="1"/>
  <c r="K244" s="1"/>
  <c r="M247"/>
  <c r="G117"/>
  <c r="G116" s="1"/>
  <c r="K118"/>
  <c r="M118"/>
  <c r="M367"/>
  <c r="M497"/>
  <c r="M512"/>
  <c r="L468"/>
  <c r="L467" s="1"/>
  <c r="M467" s="1"/>
  <c r="M469"/>
  <c r="J270"/>
  <c r="M272"/>
  <c r="G138"/>
  <c r="H99"/>
  <c r="H98" s="1"/>
  <c r="H97" s="1"/>
  <c r="H96" s="1"/>
  <c r="H95" s="1"/>
  <c r="M256"/>
  <c r="H232"/>
  <c r="M208"/>
  <c r="M232"/>
  <c r="M196"/>
  <c r="K191"/>
  <c r="K190"/>
  <c r="K189" s="1"/>
  <c r="K54"/>
  <c r="M54" s="1"/>
  <c r="M38"/>
  <c r="K459"/>
  <c r="K458" s="1"/>
  <c r="K457" s="1"/>
  <c r="M270"/>
  <c r="M266"/>
  <c r="L549"/>
  <c r="L548"/>
  <c r="M542"/>
  <c r="M539"/>
  <c r="M486"/>
  <c r="M461"/>
  <c r="M381"/>
  <c r="L366"/>
  <c r="L365"/>
  <c r="L364" s="1"/>
  <c r="L351"/>
  <c r="L350" s="1"/>
  <c r="L291"/>
  <c r="L290"/>
  <c r="M251"/>
  <c r="L182"/>
  <c r="L181"/>
  <c r="L61"/>
  <c r="L37"/>
  <c r="L36" s="1"/>
  <c r="L75"/>
  <c r="L74"/>
  <c r="K106"/>
  <c r="G52"/>
  <c r="L171"/>
  <c r="M171" s="1"/>
  <c r="M351"/>
  <c r="M323"/>
  <c r="L493"/>
  <c r="L492" s="1"/>
  <c r="K114"/>
  <c r="M114" s="1"/>
  <c r="L245"/>
  <c r="L244" s="1"/>
  <c r="M244" s="1"/>
  <c r="J252"/>
  <c r="J251" s="1"/>
  <c r="M391"/>
  <c r="M366"/>
  <c r="K423"/>
  <c r="K422" s="1"/>
  <c r="M448"/>
  <c r="K148"/>
  <c r="K147" s="1"/>
  <c r="J85"/>
  <c r="K85" s="1"/>
  <c r="L380"/>
  <c r="M380"/>
  <c r="I111"/>
  <c r="I110" s="1"/>
  <c r="J261"/>
  <c r="J260" s="1"/>
  <c r="J259" s="1"/>
  <c r="J258" s="1"/>
  <c r="J213"/>
  <c r="J212" s="1"/>
  <c r="J211" s="1"/>
  <c r="J210" s="1"/>
  <c r="M93"/>
  <c r="L502"/>
  <c r="L501" s="1"/>
  <c r="K284"/>
  <c r="K283" s="1"/>
  <c r="K282" s="1"/>
  <c r="K548"/>
  <c r="K547"/>
  <c r="M549"/>
  <c r="L97"/>
  <c r="L96"/>
  <c r="M98"/>
  <c r="L259"/>
  <c r="M259" s="1"/>
  <c r="M260"/>
  <c r="M265"/>
  <c r="H61"/>
  <c r="M239"/>
  <c r="J247"/>
  <c r="J246"/>
  <c r="J245" s="1"/>
  <c r="J244" s="1"/>
  <c r="M427"/>
  <c r="K511"/>
  <c r="K510" s="1"/>
  <c r="K509" s="1"/>
  <c r="K508" s="1"/>
  <c r="M90"/>
  <c r="M518"/>
  <c r="K291"/>
  <c r="K290"/>
  <c r="K126"/>
  <c r="M126"/>
  <c r="L435"/>
  <c r="L434"/>
  <c r="L433" s="1"/>
  <c r="H266"/>
  <c r="I266"/>
  <c r="H245"/>
  <c r="H244"/>
  <c r="I213"/>
  <c r="I212"/>
  <c r="I211" s="1"/>
  <c r="I210" s="1"/>
  <c r="M414"/>
  <c r="L547"/>
  <c r="M547" s="1"/>
  <c r="L554"/>
  <c r="L446"/>
  <c r="M468"/>
  <c r="M246"/>
  <c r="M292"/>
  <c r="M148"/>
  <c r="M143"/>
  <c r="H132"/>
  <c r="H131" s="1"/>
  <c r="H130" s="1"/>
  <c r="J265"/>
  <c r="I245"/>
  <c r="I244" s="1"/>
  <c r="G245"/>
  <c r="G244" s="1"/>
  <c r="G132"/>
  <c r="G131"/>
  <c r="G130" s="1"/>
  <c r="M435"/>
  <c r="M460"/>
  <c r="J75"/>
  <c r="J74" s="1"/>
  <c r="L546"/>
  <c r="L95"/>
  <c r="M290"/>
  <c r="M291"/>
  <c r="M423"/>
  <c r="M190"/>
  <c r="M548"/>
  <c r="L379"/>
  <c r="L378" s="1"/>
  <c r="M191"/>
  <c r="M37"/>
  <c r="M172"/>
  <c r="G51"/>
  <c r="L339"/>
  <c r="M330"/>
  <c r="K475"/>
  <c r="M379"/>
  <c r="K474"/>
  <c r="L338"/>
  <c r="K473"/>
  <c r="L289" l="1"/>
  <c r="M329"/>
  <c r="K446"/>
  <c r="M446" s="1"/>
  <c r="M447"/>
  <c r="M97"/>
  <c r="K96"/>
  <c r="K95" s="1"/>
  <c r="M378"/>
  <c r="L377"/>
  <c r="K146"/>
  <c r="M147"/>
  <c r="L491"/>
  <c r="M492"/>
  <c r="L35"/>
  <c r="M35" s="1"/>
  <c r="M36"/>
  <c r="L363"/>
  <c r="M363" s="1"/>
  <c r="M364"/>
  <c r="K116"/>
  <c r="G109"/>
  <c r="L521"/>
  <c r="M522"/>
  <c r="L399"/>
  <c r="M400"/>
  <c r="G157"/>
  <c r="K158"/>
  <c r="M165"/>
  <c r="L164"/>
  <c r="L175"/>
  <c r="L176"/>
  <c r="M277"/>
  <c r="L276"/>
  <c r="M476"/>
  <c r="L475"/>
  <c r="J110"/>
  <c r="K110" s="1"/>
  <c r="K109" s="1"/>
  <c r="K111"/>
  <c r="M111" s="1"/>
  <c r="K165"/>
  <c r="K164" s="1"/>
  <c r="K163" s="1"/>
  <c r="M166"/>
  <c r="K230"/>
  <c r="G212"/>
  <c r="G211" s="1"/>
  <c r="G210" s="1"/>
  <c r="K339"/>
  <c r="M340"/>
  <c r="M133"/>
  <c r="L132"/>
  <c r="L15"/>
  <c r="M16"/>
  <c r="K182"/>
  <c r="M183"/>
  <c r="L105"/>
  <c r="M106"/>
  <c r="K376"/>
  <c r="K398"/>
  <c r="M146"/>
  <c r="H129"/>
  <c r="M433"/>
  <c r="J129"/>
  <c r="I163"/>
  <c r="I162" s="1"/>
  <c r="G163"/>
  <c r="G162" s="1"/>
  <c r="J57"/>
  <c r="J56" s="1"/>
  <c r="I15"/>
  <c r="I14" s="1"/>
  <c r="I13" s="1"/>
  <c r="I12" s="1"/>
  <c r="H259"/>
  <c r="H258" s="1"/>
  <c r="K105"/>
  <c r="G104"/>
  <c r="G57"/>
  <c r="G56" s="1"/>
  <c r="K58"/>
  <c r="L57"/>
  <c r="M58"/>
  <c r="M158"/>
  <c r="L157"/>
  <c r="L510"/>
  <c r="M511"/>
  <c r="M538"/>
  <c r="L537"/>
  <c r="J29"/>
  <c r="J15"/>
  <c r="J14" s="1"/>
  <c r="J13" s="1"/>
  <c r="J12" s="1"/>
  <c r="M120"/>
  <c r="I259"/>
  <c r="I258" s="1"/>
  <c r="I188" s="1"/>
  <c r="I187" s="1"/>
  <c r="K347"/>
  <c r="M350"/>
  <c r="L349"/>
  <c r="M189"/>
  <c r="K61"/>
  <c r="M61" s="1"/>
  <c r="M70"/>
  <c r="M53"/>
  <c r="L52"/>
  <c r="L116"/>
  <c r="M116" s="1"/>
  <c r="M459"/>
  <c r="L458"/>
  <c r="L211"/>
  <c r="M503"/>
  <c r="K502"/>
  <c r="K555"/>
  <c r="M556"/>
  <c r="M178"/>
  <c r="K177"/>
  <c r="K176" s="1"/>
  <c r="K175" s="1"/>
  <c r="L31"/>
  <c r="M32"/>
  <c r="J163"/>
  <c r="J162" s="1"/>
  <c r="H162"/>
  <c r="H56"/>
  <c r="H29" s="1"/>
  <c r="H28" s="1"/>
  <c r="G29"/>
  <c r="G15"/>
  <c r="G14" s="1"/>
  <c r="G13" s="1"/>
  <c r="G12" s="1"/>
  <c r="G188"/>
  <c r="G187" s="1"/>
  <c r="K75"/>
  <c r="M85"/>
  <c r="J51"/>
  <c r="K51" s="1"/>
  <c r="K52"/>
  <c r="M485"/>
  <c r="L484"/>
  <c r="L284"/>
  <c r="M285"/>
  <c r="L109"/>
  <c r="M109" s="1"/>
  <c r="M110"/>
  <c r="J191"/>
  <c r="J190" s="1"/>
  <c r="J189" s="1"/>
  <c r="J188" s="1"/>
  <c r="J187" s="1"/>
  <c r="K200"/>
  <c r="K537"/>
  <c r="K536" s="1"/>
  <c r="K520" s="1"/>
  <c r="M541"/>
  <c r="L47"/>
  <c r="M48"/>
  <c r="K15"/>
  <c r="K14" s="1"/>
  <c r="K13" s="1"/>
  <c r="K12" s="1"/>
  <c r="M24"/>
  <c r="M95"/>
  <c r="M96"/>
  <c r="I129"/>
  <c r="J103"/>
  <c r="H103"/>
  <c r="I56"/>
  <c r="I29" s="1"/>
  <c r="I28" s="1"/>
  <c r="H15"/>
  <c r="H14" s="1"/>
  <c r="H13" s="1"/>
  <c r="H12" s="1"/>
  <c r="H191"/>
  <c r="H190" s="1"/>
  <c r="H189" s="1"/>
  <c r="H188" s="1"/>
  <c r="H187" s="1"/>
  <c r="M245"/>
  <c r="M434"/>
  <c r="M365"/>
  <c r="L258"/>
  <c r="M258" s="1"/>
  <c r="M493"/>
  <c r="M401"/>
  <c r="M523"/>
  <c r="K117"/>
  <c r="M117" s="1"/>
  <c r="L46" l="1"/>
  <c r="M46" s="1"/>
  <c r="M47"/>
  <c r="L283"/>
  <c r="M284"/>
  <c r="L210"/>
  <c r="L348"/>
  <c r="M349"/>
  <c r="L509"/>
  <c r="M510"/>
  <c r="L56"/>
  <c r="L474"/>
  <c r="M475"/>
  <c r="M399"/>
  <c r="L398"/>
  <c r="M398" s="1"/>
  <c r="M176"/>
  <c r="G103"/>
  <c r="K104"/>
  <c r="K103" s="1"/>
  <c r="K181"/>
  <c r="M181" s="1"/>
  <c r="M182"/>
  <c r="K212"/>
  <c r="M230"/>
  <c r="L163"/>
  <c r="M164"/>
  <c r="J28"/>
  <c r="K74"/>
  <c r="M74" s="1"/>
  <c r="M75"/>
  <c r="K501"/>
  <c r="M502"/>
  <c r="M458"/>
  <c r="L457"/>
  <c r="M457" s="1"/>
  <c r="M52"/>
  <c r="L51"/>
  <c r="M51" s="1"/>
  <c r="M132"/>
  <c r="L131"/>
  <c r="M276"/>
  <c r="L275"/>
  <c r="G156"/>
  <c r="K157"/>
  <c r="M521"/>
  <c r="L490"/>
  <c r="M491"/>
  <c r="M175"/>
  <c r="M484"/>
  <c r="L483"/>
  <c r="L30"/>
  <c r="M31"/>
  <c r="K554"/>
  <c r="M555"/>
  <c r="L536"/>
  <c r="M536" s="1"/>
  <c r="M537"/>
  <c r="L156"/>
  <c r="M157"/>
  <c r="M105"/>
  <c r="L104"/>
  <c r="L14"/>
  <c r="M15"/>
  <c r="M339"/>
  <c r="K338"/>
  <c r="M377"/>
  <c r="L376"/>
  <c r="M376" s="1"/>
  <c r="G28"/>
  <c r="K57"/>
  <c r="K162"/>
  <c r="M177"/>
  <c r="M483" l="1"/>
  <c r="L482"/>
  <c r="M482" s="1"/>
  <c r="K156"/>
  <c r="G155"/>
  <c r="M30"/>
  <c r="L29"/>
  <c r="M131"/>
  <c r="L130"/>
  <c r="L162"/>
  <c r="M162" s="1"/>
  <c r="M163"/>
  <c r="M474"/>
  <c r="L473"/>
  <c r="M509"/>
  <c r="L508"/>
  <c r="L188"/>
  <c r="M338"/>
  <c r="K289"/>
  <c r="M104"/>
  <c r="L103"/>
  <c r="M103" s="1"/>
  <c r="M501"/>
  <c r="K490"/>
  <c r="K472" s="1"/>
  <c r="L520"/>
  <c r="M520" s="1"/>
  <c r="M14"/>
  <c r="L13"/>
  <c r="L155"/>
  <c r="M156"/>
  <c r="K546"/>
  <c r="M554"/>
  <c r="M275"/>
  <c r="L274"/>
  <c r="M274" s="1"/>
  <c r="K211"/>
  <c r="M212"/>
  <c r="M348"/>
  <c r="L347"/>
  <c r="M347" s="1"/>
  <c r="L282"/>
  <c r="M283"/>
  <c r="M490"/>
  <c r="M56"/>
  <c r="K56"/>
  <c r="K29" s="1"/>
  <c r="K28" s="1"/>
  <c r="M57"/>
  <c r="K281" l="1"/>
  <c r="M289"/>
  <c r="M508"/>
  <c r="L507"/>
  <c r="L28"/>
  <c r="M28" s="1"/>
  <c r="M29"/>
  <c r="L12"/>
  <c r="M13"/>
  <c r="M282"/>
  <c r="L281"/>
  <c r="K210"/>
  <c r="M211"/>
  <c r="M546"/>
  <c r="K507"/>
  <c r="L187"/>
  <c r="L472"/>
  <c r="M472" s="1"/>
  <c r="M473"/>
  <c r="L129"/>
  <c r="M130"/>
  <c r="K155"/>
  <c r="K129" s="1"/>
  <c r="G129"/>
  <c r="M281" l="1"/>
  <c r="M155"/>
  <c r="K188"/>
  <c r="M210"/>
  <c r="M12"/>
  <c r="L560"/>
  <c r="M129"/>
  <c r="M507"/>
  <c r="K187" l="1"/>
  <c r="M188"/>
  <c r="M187" l="1"/>
  <c r="K560"/>
  <c r="M560" s="1"/>
</calcChain>
</file>

<file path=xl/sharedStrings.xml><?xml version="1.0" encoding="utf-8"?>
<sst xmlns="http://schemas.openxmlformats.org/spreadsheetml/2006/main" count="2620" uniqueCount="490">
  <si>
    <t xml:space="preserve">РАСХОДЫ БЮДЖЕТА ГОРОДА ГЕОРГИЕВСКА </t>
  </si>
  <si>
    <t>по главным распорядителям средств городского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бюджета города Георгиевска (ГРБС)</t>
  </si>
  <si>
    <t>Наименование</t>
  </si>
  <si>
    <t>ГРБС</t>
  </si>
  <si>
    <t>Рз</t>
  </si>
  <si>
    <t>ПР</t>
  </si>
  <si>
    <t>ЦСР</t>
  </si>
  <si>
    <t>ВР</t>
  </si>
  <si>
    <t>Сумма на 13.03.2014</t>
  </si>
  <si>
    <t>2015</t>
  </si>
  <si>
    <t>2016</t>
  </si>
  <si>
    <t>Изменения</t>
  </si>
  <si>
    <t>Процент исполнения</t>
  </si>
  <si>
    <t>3</t>
  </si>
  <si>
    <t>4</t>
  </si>
  <si>
    <t>5</t>
  </si>
  <si>
    <t>6</t>
  </si>
  <si>
    <t>ДУМА ГОРОДА ГЕОРГИЕВСКА</t>
  </si>
  <si>
    <t>-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</si>
  <si>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</si>
  <si>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</si>
  <si>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</si>
  <si>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</si>
  <si>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на осуществление деятельности Думы города Георгиевска</t>
  </si>
  <si>
    <t>70 0 0000</t>
  </si>
  <si>
    <t>Расходы на обеспечение деятельности Думы города Георгиевска</t>
  </si>
  <si>
    <t>70 1 0000</t>
  </si>
  <si>
    <t>Расходы на обеспечение функций муниципальных органов</t>
  </si>
  <si>
    <t>70 1 1001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</si>
  <si>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</si>
  <si>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</si>
  <si>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Закупка товаров, работ и услуг для государственных (муниципальных) нужд
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</si>
  <si>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</si>
  <si>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</si>
  <si>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</si>
  <si>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</si>
  <si>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70 2 0000</t>
  </si>
  <si>
    <t>70 2 1001</t>
  </si>
  <si>
    <t>Депутаты представительного органа муниципального образования</t>
  </si>
  <si>
    <t>70 3 0000</t>
  </si>
  <si>
    <t>70 3 1001</t>
  </si>
  <si>
    <t>АДМИНИСТРАЦИЯ ГОРОДА ГЕОРГИЕВСКА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</si>
  <si>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</si>
  <si>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</si>
  <si>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</si>
  <si>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Непрограммные расходы на осуществление деятельности администрации города Георгиевска</t>
  </si>
  <si>
    <t>02</t>
  </si>
  <si>
    <t>71 0 0000</t>
  </si>
  <si>
    <t>Глава муниципального образования</t>
  </si>
  <si>
    <t>71 1 0000</t>
  </si>
  <si>
    <t>71 1 1001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</si>
  <si>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</si>
  <si>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</si>
  <si>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Расходы в рамках обеспечения деятельности администрации города Георгиевска</t>
  </si>
  <si>
    <t>71 2 0000</t>
  </si>
  <si>
    <t>71 2 1001</t>
  </si>
  <si>
    <t>Уплата налогов, сборов и иных платежей</t>
  </si>
  <si>
    <t>Обеспечение деятельности комиссий по делам несовершеннолетних и защите их прав в муниципальных районах и городских округах Ставропольского края</t>
  </si>
  <si>
    <t>71 2 7636</t>
  </si>
  <si>
    <t>Формирование, содержание и использование Архивного фонда Ставропольского края</t>
  </si>
  <si>
    <t>71 2 7663</t>
  </si>
  <si>
    <t>Судебная система</t>
  </si>
  <si>
    <t>05</t>
  </si>
  <si>
    <t>Расходы на судебную систему</t>
  </si>
  <si>
    <t>71 3 0000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</si>
  <si>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</si>
  <si>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71 3 5120</t>
  </si>
  <si>
    <t>Резервные фонды</t>
  </si>
  <si>
    <t>11</t>
  </si>
  <si>
    <t>Резервные фонды местных администраций</t>
  </si>
  <si>
    <t>71 4 0000</t>
  </si>
  <si>
    <t>Резервный фонд администрации города Георгиевска</t>
  </si>
  <si>
    <t>71 4 2101</t>
  </si>
  <si>
    <t>Другие общегосударственные вопросы</t>
  </si>
  <si>
    <t>13</t>
  </si>
  <si>
    <t>Муниципальная программа города Георгиевска "Модернизация экономики, развитие инноваций, малого и среднего бизнеса, туризма и улучшение инвестиционного климата"</t>
  </si>
  <si>
    <t>04 0 0000</t>
  </si>
  <si>
    <t xml:space="preserve">Подпрограмма "Формирование положительного имиджа и пропаганда города Георгиевска, создание благоприятного инвестиционного климата в городе Георгиевске" </t>
  </si>
  <si>
    <t>04 1 0000</t>
  </si>
  <si>
    <t>Организация и участие в выставках, ярмарках, форумах.</t>
  </si>
  <si>
    <t>04 1 2114</t>
  </si>
  <si>
    <t xml:space="preserve">Подпрограмма "Снижение административных барьеров, противодействие коррупции в органах местного самоуправления города Георгиевска"  </t>
  </si>
  <si>
    <t>04 3 0000</t>
  </si>
  <si>
    <t xml:space="preserve">Обеспечение деятельности (оказание услуг) многофункционального центра предоставления государственных и муниципальных услуг </t>
  </si>
  <si>
    <t>04 3 1202</t>
  </si>
  <si>
    <t>Проведение мероприятий по противодействию коррупции</t>
  </si>
  <si>
    <t>04 3 2116</t>
  </si>
  <si>
    <t xml:space="preserve">Мероприятия, направленные на создание многофункционального центра предоставления государственных и муниципальных услуг </t>
  </si>
  <si>
    <t>04 3 2117</t>
  </si>
  <si>
    <t>Расходы на развитие информационного общества и формирование элементов электронного правительства</t>
  </si>
  <si>
    <t>04 3 2118</t>
  </si>
  <si>
    <t>Расходы, связанные с оснащением многофункциональных центров предоставления государственных и муниципальных услуг в Ставропольском крае</t>
  </si>
  <si>
    <t>04 3 7667</t>
  </si>
  <si>
    <t>Прочие непрограммные мероприятия в осуществлении деятельности администрации города Георгиевска</t>
  </si>
  <si>
    <t>71 5 0000</t>
  </si>
  <si>
    <t xml:space="preserve"> -</t>
  </si>
  <si>
    <t>Расходы на финансирование членских взносов</t>
  </si>
  <si>
    <t>71 5 2102</t>
  </si>
  <si>
    <t>Прочие мероприятия, выполняемые органами местного самоуправления</t>
  </si>
  <si>
    <t>71 5 2103</t>
  </si>
  <si>
    <t>Расходы на финансовое обеспечение информационных услуг в средствах массовой информации</t>
  </si>
  <si>
    <t>71 5 2112</t>
  </si>
  <si>
    <t>Закупка товаров, работ и услуг для государственных (муниципальных) нужд</t>
  </si>
  <si>
    <t xml:space="preserve">Расходы на финансовое обеспечение органов территориального общественного самоуправления </t>
  </si>
  <si>
    <t>71 5 2113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</si>
  <si>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</si>
  <si>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</si>
  <si>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Расходы на исполнение судебных актов и на уплату государственной пошлины </t>
  </si>
  <si>
    <t>71 5 2151</t>
  </si>
  <si>
    <t>Обеспечение деятельности депутатов Думы Ставропольского края и их помощников в избирательном округе</t>
  </si>
  <si>
    <t>71 5 7661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</si>
  <si>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</si>
  <si>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</si>
  <si>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</si>
  <si>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города Георгиевска "Развитие жилищно-коммунального хозяйства, защита населения и территории от чрезвычайных ситуаций"</t>
  </si>
  <si>
    <t>02 0 0000</t>
  </si>
  <si>
    <t>Подпрограмма "Защита населения от чрезвычайных ситуаций"</t>
  </si>
  <si>
    <t>02 1 0000</t>
  </si>
  <si>
    <t>Обеспечение деятельности (оказание услуг) поисковых и аварийно-спасательных учреждений</t>
  </si>
  <si>
    <t>02 1 1201</t>
  </si>
  <si>
    <t>Национальная  экономика</t>
  </si>
  <si>
    <t xml:space="preserve">Транспорт                                                            </t>
  </si>
  <si>
    <t>08</t>
  </si>
  <si>
    <t>Отдельные мероприятия в области автомобильного транспорта</t>
  </si>
  <si>
    <t>71 5 6001</t>
  </si>
  <si>
    <t>Другие вопросы в области национальной экономики</t>
  </si>
  <si>
    <t>12</t>
  </si>
  <si>
    <t>Мероприятия в области строительства архитектуры и градостроительства</t>
  </si>
  <si>
    <t>71 5 2153</t>
  </si>
  <si>
    <t>Непрограммные мероприятия в области межнациональных отношений и поддержки казачества</t>
  </si>
  <si>
    <t>71 6 0000</t>
  </si>
  <si>
    <t>Мероприятия по развитию духовно-культурных основ казачества, казачьего кадетского образования, военно-патриотического воспитания казачьей молодежи</t>
  </si>
  <si>
    <t>71 6 6002</t>
  </si>
  <si>
    <t>Подпрограмма "Развитие субъектов малого и среднего предпринимательства, туризма в городе Георгиевске"</t>
  </si>
  <si>
    <t>04 2 0000</t>
  </si>
  <si>
    <t>Методическое обеспечение туристской отрасли</t>
  </si>
  <si>
    <t>04 2 2120</t>
  </si>
  <si>
    <t>Оказание поддержки субъектам малого и среднего предпринимательства</t>
  </si>
  <si>
    <t>04 2 2121</t>
  </si>
  <si>
    <t>Субсидии на мероприятия подпрограммы "Обеспечение жильем молодых семей" в рамках федеральной целевой программы "Жилище" на 2011 - 2015 годы государственной программы Российской Федерации</t>
  </si>
  <si>
    <t>04 3 5020</t>
  </si>
  <si>
    <t>Социальное обеспечение и иные выплаты населению</t>
  </si>
  <si>
    <t>300</t>
  </si>
  <si>
    <t>Предоставление молодым семьям социальных выплат на приобретение (строительство) жилья</t>
  </si>
  <si>
    <t>04 3 7020</t>
  </si>
  <si>
    <t>КОМИТЕТ ПО УПРАВЛЕНИЮ МУНИЦИПАЛЬНЫМ ИМУЩЕСТВОМ АДМИНИСТРАЦИИ ГОРОДА ГЕОРГИЕВСКА</t>
  </si>
  <si>
    <t xml:space="preserve">Непрограммные расходы на осуществление деятельности комитета по управлению муниципальным имуществом администрации города Георгиевска </t>
  </si>
  <si>
    <t>72 0 0000</t>
  </si>
  <si>
    <t xml:space="preserve">Расходы в рамках обеспечения деятельности комитета по управлению муниципальным имуществом администрации города Георгиевска </t>
  </si>
  <si>
    <t>72 1 0000</t>
  </si>
  <si>
    <t>72 1 1001</t>
  </si>
  <si>
    <t>Реализация муниципальной политики в области приватизации и управления  муниципальной собственностью</t>
  </si>
  <si>
    <t>72 2 0000</t>
  </si>
  <si>
    <t>Финансирование мероприятий по оценке объектов оценки, оплате услуг аудиторских фирм, оплате услуг регистратора по ведению реестра ценных бумаг</t>
  </si>
  <si>
    <t>72 2 2104</t>
  </si>
  <si>
    <t>Расходы по оформлению кадастровых паспортов в предприятии технической инвентаризации на государственное (муниципальное) имущество</t>
  </si>
  <si>
    <t>72 2 2105</t>
  </si>
  <si>
    <t>Иные закупки товаров, работ и услуг для обеспечения государственных (муниципальных) нужд</t>
  </si>
  <si>
    <t>Расходы на приобретение и содержание имущества, находящегося в государственной (муниципальной) собственности</t>
  </si>
  <si>
    <t>72 2 2106</t>
  </si>
  <si>
    <t>Мероприятия по землеустройству и землепользованию</t>
  </si>
  <si>
    <t>72 3 0000</t>
  </si>
  <si>
    <t>Расходы на формирование земельных участков под многоквартирными домами, расположенными на территории города Георгиевска</t>
  </si>
  <si>
    <t>72 3 2107</t>
  </si>
  <si>
    <t>Проведение кадастровых работ на земельных участках, отнесенных к муниципальной собственности города Георгиевска</t>
  </si>
  <si>
    <t>72 3 2108</t>
  </si>
  <si>
    <t>Мероприятия по формированию земельных участков под строительство</t>
  </si>
  <si>
    <t>72 3 2109</t>
  </si>
  <si>
    <t>Жилищно-коммунальное хозяйство</t>
  </si>
  <si>
    <t>Жилищное хозяйство</t>
  </si>
  <si>
    <t>Подпрограмма "Развитие жилищного хозяйства города Георгиевска"</t>
  </si>
  <si>
    <t>02 2 0000</t>
  </si>
  <si>
    <t>Предоставление субсидий на обеспечение мероприятий по капитальному ремонту муниципального жилищного фонда</t>
  </si>
  <si>
    <t>02 2 2129</t>
  </si>
  <si>
    <t>ФИНАНСОВОЕ УПРАВЛЕНИЕ АДМИНИСТРАЦИИ ГОРОДА ГЕОРГИЕВСКА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</si>
  <si>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</si>
  <si>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</si>
  <si>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расходы на осуществление деятельности финансового управления администрации города Георгиевска</t>
  </si>
  <si>
    <t>73 0 0000</t>
  </si>
  <si>
    <t>Расходы в рамках обеспечения деятельности финансового управления администрации города Георгиевска</t>
  </si>
  <si>
    <t>73 1 0000</t>
  </si>
  <si>
    <t>73 1 1001</t>
  </si>
  <si>
    <t>Реализация муниципальных функций, связанных с муниципальным управлением</t>
  </si>
  <si>
    <t>73 2 0000</t>
  </si>
  <si>
    <t>Обеспечение гарантий муниципальных служащих в соответствии с законодательством</t>
  </si>
  <si>
    <t>73 2 1005</t>
  </si>
  <si>
    <t>Образование</t>
  </si>
  <si>
    <t>07</t>
  </si>
  <si>
    <t>Общее образование</t>
  </si>
  <si>
    <t>Создание резерва дополнительных ассигнований на повышение оплаты труда отдельных категорий работников муниципальных учреждений бюджетного сектора экономики в соответствии с указами Президента Российской Федерации</t>
  </si>
  <si>
    <t>73 4 0000</t>
  </si>
  <si>
    <t>73 4 1213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</si>
  <si>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</si>
  <si>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</si>
  <si>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внутреннего муниципального долга</t>
  </si>
  <si>
    <t>73 3 0000</t>
  </si>
  <si>
    <t>Процентные платежи по муниципальному долгу</t>
  </si>
  <si>
    <t>73 3 2110</t>
  </si>
  <si>
    <t>Обслуживание государственного (муниципального) долга</t>
  </si>
  <si>
    <t>700</t>
  </si>
  <si>
    <t>УПРАВЛЕНИЕ ОБРАЗОВАНИЯ И МОЛОДЕЖНОЙ ПОЛИТИКИ АДМИНИСТРАЦИИ ГОРОДА ГЕОРГИЕВСКА</t>
  </si>
  <si>
    <t>Дошкольное образование</t>
  </si>
  <si>
    <t xml:space="preserve">Муниципальная программа города Георгиевска "Развитие образования и молодёжной политики"  </t>
  </si>
  <si>
    <t>01 0 0000</t>
  </si>
  <si>
    <t>Подпрограмма "Развитие дошкольного, общего и дополнительного образования в городе Георгиевске"</t>
  </si>
  <si>
    <t>01 1 0000</t>
  </si>
  <si>
    <t>Обеспечение деятельности (оказание услуг) детских дошкольных учреждений</t>
  </si>
  <si>
    <t>01 1 1203</t>
  </si>
  <si>
    <t>Расходы на проведение капитального ремонта</t>
  </si>
  <si>
    <t>01 1 2146</t>
  </si>
  <si>
    <t>Расходы на проведение мероприятий по обеспечению пожарной безопасности</t>
  </si>
  <si>
    <t>01 1 2147</t>
  </si>
  <si>
    <t xml:space="preserve">Предоставление субсидий некоммерческим организациям </t>
  </si>
  <si>
    <t>01 1 6003</t>
  </si>
  <si>
    <t>Обучение детей-инвалидов на дому</t>
  </si>
  <si>
    <t>01 1 7616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</si>
  <si>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</t>
  </si>
  <si>
    <t>01 1 7657</t>
  </si>
  <si>
    <t>Обеспечение деятельности (оказание услуг) школ-детских садов, школ начальных, неполных средних и средних школ</t>
  </si>
  <si>
    <t>01 1 1204</t>
  </si>
  <si>
    <t>Обеспечение деятельности (оказание услуг) учреждений по внешкольной работе с детьми в области образования</t>
  </si>
  <si>
    <t>01 1 1205</t>
  </si>
  <si>
    <t>Прочие мероприятия в области образования</t>
  </si>
  <si>
    <t>01 1 2143</t>
  </si>
  <si>
    <t>Мероприятия по организации занятости подростков в каникулярное время</t>
  </si>
  <si>
    <t>01 1 2154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</si>
  <si>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</si>
  <si>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01 1 7613</t>
  </si>
  <si>
    <t>Молодежная политика и оздоровление детей</t>
  </si>
  <si>
    <t>Подпрограмма "Оздоровление детей и подростков, оказание психолого-педагогической и медико-социальной помощи детям, подросткам и их родителям (законным представителям)"</t>
  </si>
  <si>
    <t>01 2 0000</t>
  </si>
  <si>
    <t>Организация отдыха детей и подростков в каникулярное время</t>
  </si>
  <si>
    <t>01 2 2122</t>
  </si>
  <si>
    <t>Подпрограмма "Молодежная политика"</t>
  </si>
  <si>
    <t>01 4 0000</t>
  </si>
  <si>
    <t>Обеспечение деятельности (оказание услуг) учреждений в области организационно-воспитательной работы с молодежью</t>
  </si>
  <si>
    <t>01 4 1212</t>
  </si>
  <si>
    <t>Проведение мероприятий для детей и молодежи</t>
  </si>
  <si>
    <t>01 4 2141</t>
  </si>
  <si>
    <t>Другие вопросы в области образования</t>
  </si>
  <si>
    <t>Обеспечение деятельности (оказание услуг) учреждений оказывающих психолого-педагогическую помощь</t>
  </si>
  <si>
    <t>01 2 1206</t>
  </si>
  <si>
    <t>Подпрограмма "Обеспечение реализации программы и общепрограммные мероприятия"</t>
  </si>
  <si>
    <t>01 6 0000</t>
  </si>
  <si>
    <t>01 6 1001</t>
  </si>
  <si>
    <t>Обеспечение деятельности централизованных бухгалтерий, групп хозяйственного обслуживания</t>
  </si>
  <si>
    <t>01 6 1207</t>
  </si>
  <si>
    <t>Социальная политика</t>
  </si>
  <si>
    <t>Охрана семьи и детства</t>
  </si>
  <si>
    <t>Непрограммные мероприятия в области образования</t>
  </si>
  <si>
    <t>74 0 0000</t>
  </si>
  <si>
    <t>Прочие непрограммные мероприятия в образовательных учреждениях</t>
  </si>
  <si>
    <t>74 1 0000</t>
  </si>
  <si>
    <t xml:space="preserve"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</si>
  <si>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74 1 7614</t>
  </si>
  <si>
    <t>УПРАВЛЕНИЕ ТРУДА И СОЦИАЛЬНОЙ ЗАЩИТЫ НАСЕЛЕНИЯ АДМИНИСТРАЦИИ ГОРОДА ГЕОРГИЕВСКА</t>
  </si>
  <si>
    <t>Общеэкономические вопросы</t>
  </si>
  <si>
    <t>Непрограммные расходы на осуществление деятельности управления труда и социальной защиты населения администрации города Георгиевска</t>
  </si>
  <si>
    <t>75 0 0000</t>
  </si>
  <si>
    <t>Расходы в рамках обеспечения деятельности управления труда и социальной защиты населения администрации города Георгиевска</t>
  </si>
  <si>
    <t>75 1 0000</t>
  </si>
  <si>
    <t>Осуществление отдельных государственных полномочий в области труда и социальной защиты отдельных категорий граждан</t>
  </si>
  <si>
    <t>75 1 7621</t>
  </si>
  <si>
    <t>10</t>
  </si>
  <si>
    <t>Социальное обеспечение населения</t>
  </si>
  <si>
    <t>Непрограммные мероприятия в области социального обеспечения населения</t>
  </si>
  <si>
    <t>75 2 0000</t>
  </si>
  <si>
    <t>Оплата жилищно-коммунальных услуг отдельным категориям граждан</t>
  </si>
  <si>
    <t>75 2 5250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</si>
  <si>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</si>
  <si>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75 2 5280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</si>
  <si>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</si>
  <si>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75 2 5385</t>
  </si>
  <si>
    <t>Обеспечение мер социальной поддержки ветеранов труда Ставропольского края</t>
  </si>
  <si>
    <t>75 2 7622</t>
  </si>
  <si>
    <t>Обеспечение мер социальной поддержки реабилитированных лиц и лиц, признанных пострадавшими от политических репрессий</t>
  </si>
  <si>
    <t>75 2 7623</t>
  </si>
  <si>
    <t>Предоставление государственной социальной помощи малоимущим семьям, малоимущим одиноко проживающим гражданам</t>
  </si>
  <si>
    <t>75 2 7624</t>
  </si>
  <si>
    <t>Выплата социального пособия на погребение</t>
  </si>
  <si>
    <t>75 2 7625</t>
  </si>
  <si>
    <t>Выплата ежегодного социального пособия на проезд учащимся (студентам)</t>
  </si>
  <si>
    <t>75 2 7626</t>
  </si>
  <si>
    <t>Предоставление мер социальной поддержки многодетным семьям</t>
  </si>
  <si>
    <t>75 2 7628</t>
  </si>
  <si>
    <t>Предоставление гражданам субсидий на оплату жилого помещения и коммунальных услуг</t>
  </si>
  <si>
    <t>75 2 7630</t>
  </si>
  <si>
    <t>Обеспечение мер социальной поддержки ветеранов труда и тружеников тыла</t>
  </si>
  <si>
    <t>75 2 7631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</si>
  <si>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</si>
  <si>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75 2 7632</t>
  </si>
  <si>
    <t>Ежемесячные денежные выплаты семьям  погибших ветеранов боевых действий</t>
  </si>
  <si>
    <t>75 2 7633</t>
  </si>
  <si>
    <t>Прочие непрограммные мероприятия в области социальной политики</t>
  </si>
  <si>
    <t>75 3 0000</t>
  </si>
  <si>
    <t>Формирование доступной среды жизнедеятельности инвалидов и других маломобильных групп населения</t>
  </si>
  <si>
    <t>75 3 2124</t>
  </si>
  <si>
    <t>Предоставление субсидий на поддержку социально ориентированных некоммерческих организаций</t>
  </si>
  <si>
    <t>75 3 6005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</si>
  <si>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</si>
  <si>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75 2 5084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</si>
  <si>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</si>
  <si>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75 2 5270</t>
  </si>
  <si>
    <t>Ежемесячное пособие на ребенка</t>
  </si>
  <si>
    <t>75 2 7627</t>
  </si>
  <si>
    <t>Другие вопросы в области социальной политики</t>
  </si>
  <si>
    <t>ОТДЕЛ ОПЕКИ И ПОПЕЧИТЕЛЬСТВА АДМИНИСТРАЦИИ ГОРОДА ГЕОРГИЕВСКА</t>
  </si>
  <si>
    <t>Непрограммные расходы на осуществление деятельности отдела опеки и попечительства администрации города Георгиевска</t>
  </si>
  <si>
    <t>76 0 0000</t>
  </si>
  <si>
    <t>Расходы в рамках обеспечения деятельности отдела опеки и попечительства администрации города Георгиевска</t>
  </si>
  <si>
    <t>76 1 0000</t>
  </si>
  <si>
    <t>76 1 1001</t>
  </si>
  <si>
    <t>Организация и осуществление деятельности по опеке и попечительству в области здравоохранения</t>
  </si>
  <si>
    <t>76 1 7610</t>
  </si>
  <si>
    <t>Расходы на организацию и осуществление деятельности по опеке и попечительству в области образования</t>
  </si>
  <si>
    <t>76 1 7620</t>
  </si>
  <si>
    <t>Непрограммные мероприятия в области охраны семьи и детства</t>
  </si>
  <si>
    <t>76 2 0000</t>
  </si>
  <si>
    <t>Выплаты денежных средств на содержание ребенка опекуну (попечителю)</t>
  </si>
  <si>
    <t>76 2 7617</t>
  </si>
  <si>
    <t>Обеспечение бесплатного проезда детей-сирот и детей,оставшихся без попечения родителей, находящихся под опекой (попечительством), обучающихся в муниципальных образовательных учреждениях Ставропольского края</t>
  </si>
  <si>
    <t>76 2 7618</t>
  </si>
  <si>
    <t>76 2 7619</t>
  </si>
  <si>
    <t>Выплата единовременного пособия усыновителям</t>
  </si>
  <si>
    <t>76 2 7660</t>
  </si>
  <si>
    <t>УПРАВЛЕНИЕ ЖИЛИЩНО-КОММУНАЛЬНОГО ХОЗЯЙСТВА АДМИНИСТРАЦИИ ГОРОДА ГЕОРГИЕВСКА</t>
  </si>
  <si>
    <t>Дорожное хозяйство (дорожные фонды)</t>
  </si>
  <si>
    <t>Муниципальная программа города Георгиевска "Обеспечение безопасности дорожного движения"</t>
  </si>
  <si>
    <t>05 0 0000</t>
  </si>
  <si>
    <t>Подпрограмма "Дорожное хозяйство и обеспечение безопасности дорожного движения"</t>
  </si>
  <si>
    <t>05 1 0000</t>
  </si>
  <si>
    <t>Содержание и ремонт автомобильных дорог общего пользования муниципального значения и инженерных сооружений вдоль них</t>
  </si>
  <si>
    <t>05 1 2125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</si>
  <si>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</si>
  <si>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05 1 2126</t>
  </si>
  <si>
    <t>Реконструкция сети автомобильных дорог общего пользования на территории города Георгиевска</t>
  </si>
  <si>
    <t>05 1 2148</t>
  </si>
  <si>
    <t>Капитальный ремонт и ремонт автомобильных дорог общего пользования муниципального значения</t>
  </si>
  <si>
    <t>05 1 2149</t>
  </si>
  <si>
    <t>Благоустройство окраин города</t>
  </si>
  <si>
    <t>05 1 2150</t>
  </si>
  <si>
    <t>Cтроительство и реконструкция автомобильных дорог общего пользования местного значения</t>
  </si>
  <si>
    <t>05 1 7649</t>
  </si>
  <si>
    <t>Подпрограмма "Безопасность дорожного движения"</t>
  </si>
  <si>
    <t>05 2 0000</t>
  </si>
  <si>
    <t xml:space="preserve">Повышение безопасности дорожного движения на территории города Георгиевска </t>
  </si>
  <si>
    <t>05 2 2127</t>
  </si>
  <si>
    <t>Обеспечение мероприятий по переселению граждан из аварийного жилищного фонда</t>
  </si>
  <si>
    <t>02 2 2128</t>
  </si>
  <si>
    <t>Содержание  муниципального жилищного фонда</t>
  </si>
  <si>
    <t>02 2 2130</t>
  </si>
  <si>
    <t>Прочие мероприятия в области жилищного хозяйства</t>
  </si>
  <si>
    <t>02 2 2131</t>
  </si>
  <si>
    <t>Коммунальное хозяйство</t>
  </si>
  <si>
    <t>Подпрограмма "Развитие коммунального хозяйства города Георгиевска"</t>
  </si>
  <si>
    <t>02 3 0000</t>
  </si>
  <si>
    <t>Мероприятия по энергосбережению и повышению энергетической эффективности</t>
  </si>
  <si>
    <t>02 3 2132</t>
  </si>
  <si>
    <t>Прочие субсидии в области коммунального хозяйства</t>
  </si>
  <si>
    <t>02 3 6006</t>
  </si>
  <si>
    <t>Благоустройство</t>
  </si>
  <si>
    <t>Подпрограмма "Благоустройство города Георгиевска"</t>
  </si>
  <si>
    <t>02 4 0000</t>
  </si>
  <si>
    <t>Уличное освещение</t>
  </si>
  <si>
    <t>02 4 2133</t>
  </si>
  <si>
    <t>Озеленение</t>
  </si>
  <si>
    <t>02 4 2134</t>
  </si>
  <si>
    <t>Организация и содержание мест захоронения</t>
  </si>
  <si>
    <t>02 4 2135</t>
  </si>
  <si>
    <t>Прочие мероприятия по благоустройству</t>
  </si>
  <si>
    <t>02 4 2136</t>
  </si>
  <si>
    <t>Расходы на сбор и удаление твердых отходов, поддержание города в надлежащем санитарном состоянии</t>
  </si>
  <si>
    <t>02 4 2140</t>
  </si>
  <si>
    <t>Другие вопросы в области жилищно-коммунального хозяйства</t>
  </si>
  <si>
    <t>02 6 0000</t>
  </si>
  <si>
    <t>02 6 1001</t>
  </si>
  <si>
    <t>Обеспечение деятельности (оказание услуг) учреждений в области жилищно-коммунального хозяйства</t>
  </si>
  <si>
    <t>02 6 1214</t>
  </si>
  <si>
    <t xml:space="preserve">Подпрограмма "Обеспечение жильём молодых семей" </t>
  </si>
  <si>
    <t>02 5 0000</t>
  </si>
  <si>
    <t>02 5 2119</t>
  </si>
  <si>
    <t>Непрограммные расходы учреждений сферы жилищно-коммунального хозяйства на осуществление деятельности в области социальной политики</t>
  </si>
  <si>
    <t>77 0 0000</t>
  </si>
  <si>
    <t>Прочие мероприятия в области социальной политики</t>
  </si>
  <si>
    <t>77 1 0000</t>
  </si>
  <si>
    <t>77 1 2137</t>
  </si>
  <si>
    <t>ОТДЕЛ КАПИТАЛЬНОГО СТРОИТЕЛЬСТВА АДМИНИСТРАЦИИ ГОРОДА ГЕОРГИЕВСКА</t>
  </si>
  <si>
    <t>Непрограммные расходы на осуществление деятельности отдела капитального строительства администрации города Георгиевска</t>
  </si>
  <si>
    <t>78 0 0000</t>
  </si>
  <si>
    <t>Прочие непрограммные мероприятия в сфере капитального строительства</t>
  </si>
  <si>
    <t>78 1 0000</t>
  </si>
  <si>
    <t>Расходы на ежегодный взнос в саморегулируемую организацию строительства</t>
  </si>
  <si>
    <t>78 1 2138</t>
  </si>
  <si>
    <t>Расходы в рамках обеспечения деятельности отдела капитального строительства администрации города Георгиевска</t>
  </si>
  <si>
    <t>78 2 0000</t>
  </si>
  <si>
    <t>78 2 1001</t>
  </si>
  <si>
    <t>Подпрограмма "Строительство, реконструкция объектов муниципальной собственности"</t>
  </si>
  <si>
    <t>01 3 0000</t>
  </si>
  <si>
    <t>Бюджетные инвестиции в объекты капитального строительства собственности муниципальных образований (строительство детского сада)</t>
  </si>
  <si>
    <t>01 3 2139</t>
  </si>
  <si>
    <t>Капитальные вложения в объекты недвижимого имущества
государственной (муниципальной) собственности</t>
  </si>
  <si>
    <t>400</t>
  </si>
  <si>
    <t>Субсидии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2013 - 2020 годы</t>
  </si>
  <si>
    <t>01 3 5059</t>
  </si>
  <si>
    <t>Бюджетные инвестиции в объекты капитального строительства собственности муниципальных образований в рамках государственных программ Ставропольского края</t>
  </si>
  <si>
    <t>01 3 7655</t>
  </si>
  <si>
    <t>КОМИТЕТ ПО КУЛЬТУРЕ И СПОРТУ АДМИНИСТРАЦИИ ГОРОДА ГЕОРГИЕВСКА</t>
  </si>
  <si>
    <t>Подпрограмма "Дополнительное образование в сфере культуры в городе Георгиевске"</t>
  </si>
  <si>
    <t>01 5 0000</t>
  </si>
  <si>
    <t>Обеспечение деятельности (оказание услуг) учреждений по внешкольной работе с детьми в области культуры</t>
  </si>
  <si>
    <t>01 5 1208</t>
  </si>
  <si>
    <t>Укрепление материально-технической базы учреждений дополнительного образования в сфере культуры</t>
  </si>
  <si>
    <t>01 5 2152</t>
  </si>
  <si>
    <t>Культура и кинематография</t>
  </si>
  <si>
    <t xml:space="preserve">Культура </t>
  </si>
  <si>
    <t>Муниципальная программа города Георгиевска "Развитие культуры и спорта"</t>
  </si>
  <si>
    <t>03 0 0000</t>
  </si>
  <si>
    <t>Подпрограмма "Культура и досуг"</t>
  </si>
  <si>
    <t>03 1 0000</t>
  </si>
  <si>
    <t>Обеспечение деятельности (оказание услуг) учреждений  культуры</t>
  </si>
  <si>
    <t>03 1 1209</t>
  </si>
  <si>
    <t>Обеспечение деятельности (оказание услуг) библиотек</t>
  </si>
  <si>
    <t>03 1 1210</t>
  </si>
  <si>
    <t>Комплектование книжных фондов библиотек муниципальных образований за счет средств городского бюджета</t>
  </si>
  <si>
    <t>03 1 2123</t>
  </si>
  <si>
    <t>Прочие мероприятия в области культуры и кинематографии</t>
  </si>
  <si>
    <t>03 1 2145</t>
  </si>
  <si>
    <t>03 1 2147</t>
  </si>
  <si>
    <t>Комплектование книжных фондов библиотек муниципальных образований за счет средств краевого бюджета</t>
  </si>
  <si>
    <t>03 1 7144</t>
  </si>
  <si>
    <t>Другие вопросы в области культуры, кинематографии</t>
  </si>
  <si>
    <t>03 3 0000</t>
  </si>
  <si>
    <t>03 3 1001</t>
  </si>
  <si>
    <t>Физическая культура и спорт</t>
  </si>
  <si>
    <t>Физическая культура</t>
  </si>
  <si>
    <t>Подпрограмма "Развитие физической культуры и спорта"</t>
  </si>
  <si>
    <t>03 2 0000</t>
  </si>
  <si>
    <t>03 2 1209</t>
  </si>
  <si>
    <t>Обеспечение деятельности учреждений (оказание услуг), обеспечивающих предоставление услуг в сфере физической культуры и спорта</t>
  </si>
  <si>
    <t>03 2 1211</t>
  </si>
  <si>
    <t>Массовый спорт</t>
  </si>
  <si>
    <t>Проведение мероприятий в области спорта и физической культуры</t>
  </si>
  <si>
    <t>03 2 2142</t>
  </si>
  <si>
    <t>ИТОГО РАСХОДОВ</t>
  </si>
  <si>
    <t>71 5 1005</t>
  </si>
  <si>
    <t>Проведение работ по замене оконных блоков в муниципальных дошкольных образовательных организациях Ставропольского края и муниципальных общеобразовательных организациях Ставропольского края</t>
  </si>
  <si>
    <t>01 1 7669</t>
  </si>
  <si>
    <t>Субсидии местным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</si>
  <si>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05 1 7647</t>
  </si>
  <si>
    <t>Субсидии на реализацию региональных программ в области энергосбережения и повышения энергетической эффективности в рамках подпрограммы "Энергосбережение и повышение энергетической эффективности" государственной программы "Энергоэффективность и развитие энергетики"</t>
  </si>
  <si>
    <t>02 3 5013</t>
  </si>
  <si>
    <t>Субсидии бюджетам субъектов Российской Федерации и муниципальных образований на мероприятия подпрограммы "Обеспечение жильем молодых семей" в рамках федеральной целевой программы "Жилище" на 2011 - 2015 годы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</si>
  <si>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02 5 5020</t>
  </si>
  <si>
    <t>Предоставление молодым семьям социальных выплат на приобретение (строительство) жилья за счет средств краевого бюджета</t>
  </si>
  <si>
    <t>02 5 7020</t>
  </si>
  <si>
    <t>71 5 7693</t>
  </si>
  <si>
    <t>Осуществление отдельных государственных полномочий Ставропольского края по созданию административных комиссий</t>
  </si>
  <si>
    <t>02 2 9502</t>
  </si>
  <si>
    <t>02 2 9602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</si>
  <si>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</si>
  <si>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 xml:space="preserve">Обеспечение мероприятий по переселению граждан из аварийных многоквартирных домов </t>
  </si>
  <si>
    <t>02 3 7656</t>
  </si>
  <si>
    <t>Реализация мероприятий подпрограммы "Энергосбережение и повышение энергетической эффективности"</t>
  </si>
  <si>
    <t>за 2014 год</t>
  </si>
  <si>
    <t>Исполнено за 2014 год</t>
  </si>
  <si>
    <t xml:space="preserve">01 1 7694  </t>
  </si>
  <si>
    <t>Обеспечение расходов, связанных с повышением заработной платы педагогических работников муниципальных образовательных учреждений дополнительного образования детей</t>
  </si>
  <si>
    <t>75 2 5380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</si>
  <si>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</si>
  <si>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02 2 6005</t>
  </si>
  <si>
    <t>Обеспечение мероприятий по переходу на отпуск коммунальных ресурсов потребителям в соответствии с показаниями коллективных (общедомовых) приборов учета</t>
  </si>
  <si>
    <t>02 2 6007</t>
  </si>
  <si>
    <t>02 2 7658</t>
  </si>
  <si>
    <t>Обеспечение мероприятий по предоставлению дополнительной площади жилья при переселении граждан из аварийного жилищного фонда</t>
  </si>
  <si>
    <t>78 1 2106</t>
  </si>
  <si>
    <t>01 5 5014</t>
  </si>
  <si>
    <t>01 5 7694</t>
  </si>
  <si>
    <t>Реализация мероприятий федеральной целевой программы "Культура России  (2012-2018 годы)"</t>
  </si>
  <si>
    <t>ПРИЛОЖЕНИЕ 3</t>
  </si>
  <si>
    <t>к постановлению администрации</t>
  </si>
  <si>
    <t>города Георгиевска</t>
  </si>
  <si>
    <t xml:space="preserve">к решению Думы </t>
  </si>
  <si>
    <t>Глава города Георгиевска</t>
  </si>
  <si>
    <t>от 27 мая 2015 года № 519-50</t>
  </si>
  <si>
    <t>(тыс. рублей)</t>
  </si>
  <si>
    <t xml:space="preserve">Утверждено решением Думы города Георгиевска "О бюджете города Георгиевска на 2014 год  и на плановый период 2015 и 2016 годов", с учетом изменений </t>
  </si>
  <si>
    <t>Целевые средства на реализацию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 в  интересах детей  на 2012- 2017 годы"</t>
  </si>
  <si>
    <t>Выплаты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</si>
  <si>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Предоставление молодым семьям социальных выплат на приобретение жилья или строительство индивидуального жилого дома</t>
  </si>
  <si>
    <t xml:space="preserve">                                                      Л.А. Козина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</si>
</sst>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;[Red]\-000;&quot;&quot;"/>
  </numFmts>
  <fonts count="1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1"/>
    </font>
    <font>
      <sz val="10"/>
      <name val="Times New Roman"/>
      <family val="1"/>
      <charset val="1"/>
    </font>
    <font>
      <sz val="14"/>
      <color rgb="FFFF0000"/>
      <name val="Times New Roman"/>
      <family val="1"/>
      <charset val="1"/>
    </font>
    <font>
      <sz val="10"/>
      <color rgb="FFFF00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85">
    <xf numFmtId="0" fontId="0" fillId="0" borderId="0" xfId="0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49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" fontId="3" fillId="2" borderId="0" xfId="0" applyNumberFormat="1" applyFont="1" applyFill="1"/>
    <xf numFmtId="4" fontId="3" fillId="0" borderId="0" xfId="0" applyNumberFormat="1" applyFont="1"/>
    <xf numFmtId="164" fontId="3" fillId="2" borderId="0" xfId="0" applyNumberFormat="1" applyFont="1" applyFill="1"/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Fill="1" applyAlignment="1">
      <alignment horizontal="center" wrapText="1"/>
    </xf>
    <xf numFmtId="4" fontId="3" fillId="0" borderId="0" xfId="0" applyNumberFormat="1" applyFont="1" applyFill="1"/>
    <xf numFmtId="0" fontId="9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Alignment="1">
      <alignment horizontal="justify" vertical="top" wrapText="1"/>
    </xf>
    <xf numFmtId="165" fontId="3" fillId="0" borderId="0" xfId="10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165" fontId="3" fillId="0" borderId="0" xfId="17" applyNumberFormat="1" applyFont="1" applyFill="1" applyBorder="1" applyAlignment="1" applyProtection="1">
      <alignment vertical="center" wrapText="1"/>
      <protection hidden="1"/>
    </xf>
    <xf numFmtId="4" fontId="3" fillId="0" borderId="0" xfId="0" applyNumberFormat="1" applyFont="1" applyBorder="1"/>
    <xf numFmtId="4" fontId="3" fillId="2" borderId="0" xfId="0" applyNumberFormat="1" applyFont="1" applyFill="1" applyBorder="1"/>
    <xf numFmtId="165" fontId="3" fillId="0" borderId="0" xfId="16" applyNumberFormat="1" applyFont="1" applyFill="1" applyBorder="1" applyAlignment="1" applyProtection="1">
      <alignment horizontal="justify" vertical="center" wrapText="1"/>
      <protection hidden="1"/>
    </xf>
    <xf numFmtId="49" fontId="3" fillId="0" borderId="0" xfId="0" applyNumberFormat="1" applyFont="1" applyFill="1" applyAlignment="1">
      <alignment horizontal="center" wrapText="1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justify" vertical="center" wrapText="1"/>
    </xf>
    <xf numFmtId="0" fontId="0" fillId="0" borderId="0" xfId="0" applyAlignment="1"/>
    <xf numFmtId="0" fontId="3" fillId="0" borderId="0" xfId="0" applyFont="1" applyFill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9" fontId="9" fillId="2" borderId="0" xfId="0" applyNumberFormat="1" applyFont="1" applyFill="1" applyAlignment="1">
      <alignment horizontal="center" wrapText="1"/>
    </xf>
    <xf numFmtId="49" fontId="3" fillId="0" borderId="0" xfId="0" applyNumberFormat="1" applyFont="1" applyAlignment="1"/>
    <xf numFmtId="0" fontId="3" fillId="0" borderId="0" xfId="0" applyFont="1" applyAlignment="1">
      <alignment horizontal="center" vertical="top" wrapText="1"/>
    </xf>
    <xf numFmtId="0" fontId="0" fillId="0" borderId="0" xfId="0" applyNumberFormat="1"/>
    <xf numFmtId="0" fontId="3" fillId="0" borderId="0" xfId="0" applyFont="1" applyFill="1" applyAlignment="1">
      <alignment horizontal="justify" vertical="center" wrapText="1"/>
    </xf>
    <xf numFmtId="165" fontId="3" fillId="0" borderId="0" xfId="25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Alignment="1">
      <alignment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10" fillId="0" borderId="0" xfId="0" applyNumberFormat="1" applyFont="1" applyFill="1" applyAlignment="1">
      <alignment horizontal="center" wrapText="1"/>
    </xf>
    <xf numFmtId="0" fontId="10" fillId="0" borderId="0" xfId="0" applyFont="1" applyAlignment="1">
      <alignment horizontal="justify" vertical="center" wrapText="1"/>
    </xf>
    <xf numFmtId="164" fontId="3" fillId="0" borderId="0" xfId="0" applyNumberFormat="1" applyFont="1" applyFill="1"/>
    <xf numFmtId="0" fontId="0" fillId="0" borderId="0" xfId="0" applyFill="1"/>
    <xf numFmtId="49" fontId="11" fillId="0" borderId="0" xfId="0" applyNumberFormat="1" applyFont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justify" vertical="center" wrapText="1"/>
    </xf>
    <xf numFmtId="4" fontId="14" fillId="0" borderId="0" xfId="0" applyNumberFormat="1" applyFont="1"/>
    <xf numFmtId="4" fontId="15" fillId="0" borderId="0" xfId="0" applyNumberFormat="1" applyFont="1"/>
    <xf numFmtId="0" fontId="15" fillId="0" borderId="0" xfId="0" applyFont="1"/>
    <xf numFmtId="4" fontId="14" fillId="0" borderId="0" xfId="0" applyNumberFormat="1" applyFont="1" applyFill="1"/>
    <xf numFmtId="4" fontId="14" fillId="0" borderId="0" xfId="0" applyNumberFormat="1" applyFont="1" applyAlignment="1">
      <alignment vertical="top"/>
    </xf>
    <xf numFmtId="4" fontId="12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Fill="1"/>
    <xf numFmtId="4" fontId="12" fillId="0" borderId="0" xfId="0" applyNumberFormat="1" applyFont="1" applyAlignment="1">
      <alignment horizontal="right"/>
    </xf>
    <xf numFmtId="4" fontId="12" fillId="0" borderId="0" xfId="0" applyNumberFormat="1" applyFont="1" applyAlignment="1"/>
    <xf numFmtId="164" fontId="12" fillId="2" borderId="0" xfId="0" applyNumberFormat="1" applyFont="1" applyFill="1"/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horizontal="center"/>
    </xf>
    <xf numFmtId="49" fontId="11" fillId="0" borderId="0" xfId="0" applyNumberFormat="1" applyFont="1"/>
    <xf numFmtId="4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12" fillId="0" borderId="0" xfId="0" applyNumberFormat="1" applyFont="1" applyFill="1" applyAlignment="1">
      <alignment horizontal="center"/>
    </xf>
  </cellXfs>
  <cellStyles count="26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2" xfId="5"/>
    <cellStyle name="Обычный 2 10" xfId="6"/>
    <cellStyle name="Обычный 2 11" xfId="7"/>
    <cellStyle name="Обычный 2 12" xfId="8"/>
    <cellStyle name="Обычный 2 13" xfId="9"/>
    <cellStyle name="Обычный 2 2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4" xfId="19"/>
    <cellStyle name="Обычный 5" xfId="20"/>
    <cellStyle name="Обычный 6" xfId="21"/>
    <cellStyle name="Обычный 7" xfId="22"/>
    <cellStyle name="Обычный 8" xfId="23"/>
    <cellStyle name="Обычный 9" xfId="24"/>
    <cellStyle name="Обычный_tmp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3"/>
  <sheetViews>
    <sheetView tabSelected="1" view="pageBreakPreview" topLeftCell="A545" zoomScaleNormal="90" zoomScaleSheetLayoutView="100" workbookViewId="0">
      <selection activeCell="A548" sqref="A548"/>
    </sheetView>
  </sheetViews>
  <sheetFormatPr defaultRowHeight="18.75"/>
  <cols>
    <col min="1" max="1" width="82" style="1" customWidth="1"/>
    <col min="2" max="2" width="7" style="2" customWidth="1"/>
    <col min="3" max="3" width="5.7109375" style="3" customWidth="1"/>
    <col min="4" max="4" width="5.5703125" style="3" customWidth="1"/>
    <col min="5" max="5" width="11.85546875" style="3" customWidth="1"/>
    <col min="6" max="6" width="7.42578125" style="3" customWidth="1"/>
    <col min="7" max="10" width="9.140625" style="4" hidden="1" customWidth="1"/>
    <col min="11" max="11" width="16.5703125" customWidth="1"/>
    <col min="12" max="12" width="17" style="62" customWidth="1"/>
    <col min="13" max="13" width="12.7109375" customWidth="1"/>
    <col min="15" max="15" width="17.140625" customWidth="1"/>
  </cols>
  <sheetData>
    <row r="1" spans="1:13">
      <c r="K1" s="83" t="s">
        <v>478</v>
      </c>
      <c r="L1" s="83"/>
      <c r="M1" s="83"/>
    </row>
    <row r="2" spans="1:13">
      <c r="K2" s="83" t="s">
        <v>481</v>
      </c>
      <c r="L2" s="83"/>
      <c r="M2" s="83"/>
    </row>
    <row r="3" spans="1:13">
      <c r="K3" s="83" t="s">
        <v>480</v>
      </c>
      <c r="L3" s="83"/>
      <c r="M3" s="83"/>
    </row>
    <row r="4" spans="1:13">
      <c r="K4" s="83" t="s">
        <v>483</v>
      </c>
      <c r="L4" s="83"/>
      <c r="M4" s="83"/>
    </row>
    <row r="5" spans="1:13" ht="18" customHeight="1">
      <c r="A5" s="74"/>
      <c r="B5" s="75"/>
      <c r="C5" s="76"/>
      <c r="D5" s="77"/>
      <c r="E5" s="76"/>
      <c r="F5" s="78"/>
      <c r="G5" s="79" t="s">
        <v>479</v>
      </c>
      <c r="H5" s="78"/>
      <c r="I5" s="78"/>
      <c r="J5" s="78"/>
      <c r="L5" s="4"/>
    </row>
    <row r="6" spans="1:13" ht="20.25" customHeight="1">
      <c r="A6" s="82" t="s">
        <v>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13" ht="59.25" customHeight="1">
      <c r="A7" s="82" t="s">
        <v>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 ht="19.5" customHeight="1">
      <c r="A8" s="82" t="s">
        <v>463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13" ht="19.899999999999999" customHeight="1">
      <c r="B9" s="5"/>
      <c r="C9" s="5"/>
      <c r="D9" s="5"/>
      <c r="E9" s="5"/>
      <c r="F9" s="6"/>
      <c r="G9"/>
      <c r="H9"/>
      <c r="I9"/>
      <c r="J9"/>
      <c r="M9" s="7" t="s">
        <v>484</v>
      </c>
    </row>
    <row r="10" spans="1:13" ht="206.25" customHeight="1">
      <c r="A10" s="8" t="s">
        <v>2</v>
      </c>
      <c r="B10" s="9" t="s">
        <v>3</v>
      </c>
      <c r="C10" s="10" t="s">
        <v>4</v>
      </c>
      <c r="D10" s="10" t="s">
        <v>5</v>
      </c>
      <c r="E10" s="10" t="s">
        <v>6</v>
      </c>
      <c r="F10" s="10" t="s">
        <v>7</v>
      </c>
      <c r="G10" s="11" t="s">
        <v>8</v>
      </c>
      <c r="H10" s="12" t="s">
        <v>9</v>
      </c>
      <c r="I10" s="12" t="s">
        <v>10</v>
      </c>
      <c r="J10" s="11" t="s">
        <v>11</v>
      </c>
      <c r="K10" s="51" t="s">
        <v>485</v>
      </c>
      <c r="L10" s="67" t="s">
        <v>464</v>
      </c>
      <c r="M10" s="13" t="s">
        <v>12</v>
      </c>
    </row>
    <row r="11" spans="1:13" ht="12.75" customHeight="1">
      <c r="A11" s="14">
        <v>1</v>
      </c>
      <c r="B11" s="14">
        <v>2</v>
      </c>
      <c r="C11" s="15" t="s">
        <v>13</v>
      </c>
      <c r="D11" s="15" t="s">
        <v>14</v>
      </c>
      <c r="E11" s="15" t="s">
        <v>15</v>
      </c>
      <c r="F11" s="15" t="s">
        <v>16</v>
      </c>
      <c r="G11" s="16">
        <v>7</v>
      </c>
      <c r="H11" s="16"/>
      <c r="I11" s="16"/>
      <c r="J11" s="16">
        <v>8</v>
      </c>
      <c r="K11" s="16">
        <v>7</v>
      </c>
      <c r="L11" s="68">
        <v>8</v>
      </c>
      <c r="M11" s="17">
        <v>9</v>
      </c>
    </row>
    <row r="12" spans="1:13" ht="18" customHeight="1">
      <c r="A12" s="1" t="s">
        <v>17</v>
      </c>
      <c r="B12" s="2">
        <v>600</v>
      </c>
      <c r="C12" s="18" t="s">
        <v>18</v>
      </c>
      <c r="D12" s="18" t="s">
        <v>18</v>
      </c>
      <c r="E12" s="18" t="s">
        <v>18</v>
      </c>
      <c r="F12" s="18" t="s">
        <v>18</v>
      </c>
      <c r="G12" s="19">
        <f>G13</f>
        <v>7577.25</v>
      </c>
      <c r="H12" s="19">
        <f t="shared" ref="H12:I14" si="0">H13</f>
        <v>7577.25</v>
      </c>
      <c r="I12" s="19">
        <f t="shared" si="0"/>
        <v>7691.15</v>
      </c>
      <c r="J12" s="19">
        <f t="shared" ref="J12:L14" si="1">J13</f>
        <v>0</v>
      </c>
      <c r="K12" s="20">
        <f t="shared" si="1"/>
        <v>7821.1500000000015</v>
      </c>
      <c r="L12" s="69">
        <f t="shared" si="1"/>
        <v>7807.92</v>
      </c>
      <c r="M12" s="21">
        <f>SUM(L12/K12*100)</f>
        <v>99.830843290308962</v>
      </c>
    </row>
    <row r="13" spans="1:13" ht="18" customHeight="1">
      <c r="A13" s="22" t="s">
        <v>19</v>
      </c>
      <c r="B13" s="23">
        <v>600</v>
      </c>
      <c r="C13" s="24" t="s">
        <v>20</v>
      </c>
      <c r="D13" s="24" t="s">
        <v>18</v>
      </c>
      <c r="E13" s="24" t="s">
        <v>18</v>
      </c>
      <c r="F13" s="24" t="s">
        <v>18</v>
      </c>
      <c r="G13" s="20">
        <f>G14</f>
        <v>7577.25</v>
      </c>
      <c r="H13" s="20">
        <f t="shared" si="0"/>
        <v>7577.25</v>
      </c>
      <c r="I13" s="20">
        <f t="shared" si="0"/>
        <v>7691.15</v>
      </c>
      <c r="J13" s="20">
        <f t="shared" si="1"/>
        <v>0</v>
      </c>
      <c r="K13" s="20">
        <f t="shared" si="1"/>
        <v>7821.1500000000015</v>
      </c>
      <c r="L13" s="69">
        <f t="shared" si="1"/>
        <v>7807.92</v>
      </c>
      <c r="M13" s="21">
        <f t="shared" ref="M13:M78" si="2">SUM(L13/K13*100)</f>
        <v>99.830843290308962</v>
      </c>
    </row>
    <row r="14" spans="1:13" ht="55.9" customHeight="1">
      <c r="A14" s="22" t="s">
        <v>21</v>
      </c>
      <c r="B14" s="23">
        <v>600</v>
      </c>
      <c r="C14" s="24" t="s">
        <v>20</v>
      </c>
      <c r="D14" s="24" t="s">
        <v>22</v>
      </c>
      <c r="E14" s="24" t="s">
        <v>18</v>
      </c>
      <c r="F14" s="24" t="s">
        <v>18</v>
      </c>
      <c r="G14" s="20">
        <f>G15</f>
        <v>7577.25</v>
      </c>
      <c r="H14" s="20">
        <f t="shared" si="0"/>
        <v>7577.25</v>
      </c>
      <c r="I14" s="20">
        <f t="shared" si="0"/>
        <v>7691.15</v>
      </c>
      <c r="J14" s="20">
        <f t="shared" si="1"/>
        <v>0</v>
      </c>
      <c r="K14" s="20">
        <f t="shared" si="1"/>
        <v>7821.1500000000015</v>
      </c>
      <c r="L14" s="69">
        <f t="shared" si="1"/>
        <v>7807.92</v>
      </c>
      <c r="M14" s="21">
        <f t="shared" si="2"/>
        <v>99.830843290308962</v>
      </c>
    </row>
    <row r="15" spans="1:13" ht="38.25" customHeight="1">
      <c r="A15" s="22" t="s">
        <v>23</v>
      </c>
      <c r="B15" s="2">
        <v>600</v>
      </c>
      <c r="C15" s="24" t="s">
        <v>20</v>
      </c>
      <c r="D15" s="24" t="s">
        <v>22</v>
      </c>
      <c r="E15" s="24" t="s">
        <v>24</v>
      </c>
      <c r="F15" s="24"/>
      <c r="G15" s="20">
        <f t="shared" ref="G15:L15" si="3">G16+G21+G24</f>
        <v>7577.25</v>
      </c>
      <c r="H15" s="20">
        <f t="shared" si="3"/>
        <v>7577.25</v>
      </c>
      <c r="I15" s="20">
        <f t="shared" si="3"/>
        <v>7691.15</v>
      </c>
      <c r="J15" s="20">
        <f t="shared" si="3"/>
        <v>0</v>
      </c>
      <c r="K15" s="20">
        <f t="shared" si="3"/>
        <v>7821.1500000000015</v>
      </c>
      <c r="L15" s="69">
        <f t="shared" si="3"/>
        <v>7807.92</v>
      </c>
      <c r="M15" s="21">
        <f t="shared" si="2"/>
        <v>99.830843290308962</v>
      </c>
    </row>
    <row r="16" spans="1:13" ht="20.25" customHeight="1">
      <c r="A16" s="22" t="s">
        <v>25</v>
      </c>
      <c r="B16" s="23">
        <v>600</v>
      </c>
      <c r="C16" s="24" t="s">
        <v>20</v>
      </c>
      <c r="D16" s="24" t="s">
        <v>22</v>
      </c>
      <c r="E16" s="24" t="s">
        <v>26</v>
      </c>
      <c r="F16" s="24" t="s">
        <v>18</v>
      </c>
      <c r="G16" s="20">
        <f t="shared" ref="G16:L16" si="4">G17</f>
        <v>5470.71</v>
      </c>
      <c r="H16" s="20">
        <f t="shared" si="4"/>
        <v>5470.71</v>
      </c>
      <c r="I16" s="20">
        <f t="shared" si="4"/>
        <v>5584.61</v>
      </c>
      <c r="J16" s="20">
        <f t="shared" si="4"/>
        <v>0</v>
      </c>
      <c r="K16" s="20">
        <f t="shared" si="4"/>
        <v>5673.5500000000011</v>
      </c>
      <c r="L16" s="69">
        <f t="shared" si="4"/>
        <v>5662.5300000000007</v>
      </c>
      <c r="M16" s="21">
        <f t="shared" si="2"/>
        <v>99.80576534973693</v>
      </c>
    </row>
    <row r="17" spans="1:13">
      <c r="A17" s="22" t="s">
        <v>27</v>
      </c>
      <c r="B17" s="23">
        <v>600</v>
      </c>
      <c r="C17" s="24" t="s">
        <v>20</v>
      </c>
      <c r="D17" s="24" t="s">
        <v>22</v>
      </c>
      <c r="E17" s="24" t="s">
        <v>28</v>
      </c>
      <c r="F17" s="24" t="s">
        <v>18</v>
      </c>
      <c r="G17" s="20">
        <f>G18+G19+G20</f>
        <v>5470.71</v>
      </c>
      <c r="H17" s="20">
        <f>H18+H19+H20</f>
        <v>5470.71</v>
      </c>
      <c r="I17" s="20">
        <f>I18+I19+I20</f>
        <v>5584.61</v>
      </c>
      <c r="J17" s="20">
        <f>J18+J19+J20</f>
        <v>0</v>
      </c>
      <c r="K17" s="20">
        <f>SUM(K18:K20)</f>
        <v>5673.5500000000011</v>
      </c>
      <c r="L17" s="69">
        <f>SUM(L18:L20)</f>
        <v>5662.5300000000007</v>
      </c>
      <c r="M17" s="21">
        <f t="shared" si="2"/>
        <v>99.80576534973693</v>
      </c>
    </row>
    <row r="18" spans="1:13" ht="78" customHeight="1">
      <c r="A18" s="22" t="s">
        <v>29</v>
      </c>
      <c r="B18" s="2">
        <v>600</v>
      </c>
      <c r="C18" s="24" t="s">
        <v>20</v>
      </c>
      <c r="D18" s="24" t="s">
        <v>22</v>
      </c>
      <c r="E18" s="24" t="s">
        <v>28</v>
      </c>
      <c r="F18" s="24" t="s">
        <v>30</v>
      </c>
      <c r="G18" s="20">
        <v>4917.66</v>
      </c>
      <c r="H18" s="20">
        <v>4917.66</v>
      </c>
      <c r="I18" s="20">
        <v>4917.66</v>
      </c>
      <c r="J18" s="20"/>
      <c r="K18" s="20">
        <v>5096.8900000000003</v>
      </c>
      <c r="L18" s="69">
        <v>5096.7700000000004</v>
      </c>
      <c r="M18" s="21">
        <f t="shared" si="2"/>
        <v>99.997645623115275</v>
      </c>
    </row>
    <row r="19" spans="1:13" ht="39" customHeight="1">
      <c r="A19" s="22" t="s">
        <v>31</v>
      </c>
      <c r="B19" s="23">
        <v>600</v>
      </c>
      <c r="C19" s="24" t="s">
        <v>20</v>
      </c>
      <c r="D19" s="24" t="s">
        <v>22</v>
      </c>
      <c r="E19" s="24" t="s">
        <v>28</v>
      </c>
      <c r="F19" s="24" t="s">
        <v>32</v>
      </c>
      <c r="G19" s="20">
        <v>549.1</v>
      </c>
      <c r="H19" s="20">
        <v>549.1</v>
      </c>
      <c r="I19" s="20">
        <v>663</v>
      </c>
      <c r="J19" s="20"/>
      <c r="K19" s="20">
        <v>570.6</v>
      </c>
      <c r="L19" s="69">
        <v>559.71</v>
      </c>
      <c r="M19" s="21">
        <f t="shared" si="2"/>
        <v>98.091482649842277</v>
      </c>
    </row>
    <row r="20" spans="1:13" ht="18" customHeight="1">
      <c r="A20" s="22" t="s">
        <v>33</v>
      </c>
      <c r="B20" s="23">
        <v>600</v>
      </c>
      <c r="C20" s="24" t="s">
        <v>20</v>
      </c>
      <c r="D20" s="24" t="s">
        <v>22</v>
      </c>
      <c r="E20" s="24" t="s">
        <v>28</v>
      </c>
      <c r="F20" s="24" t="s">
        <v>34</v>
      </c>
      <c r="G20" s="4">
        <v>3.95</v>
      </c>
      <c r="H20" s="4">
        <v>3.95</v>
      </c>
      <c r="I20" s="4">
        <v>3.95</v>
      </c>
      <c r="K20" s="20">
        <v>6.06</v>
      </c>
      <c r="L20" s="69">
        <v>6.05</v>
      </c>
      <c r="M20" s="21">
        <f t="shared" si="2"/>
        <v>99.834983498349843</v>
      </c>
    </row>
    <row r="21" spans="1:13" ht="21" customHeight="1">
      <c r="A21" s="22" t="s">
        <v>35</v>
      </c>
      <c r="B21" s="2">
        <v>600</v>
      </c>
      <c r="C21" s="24" t="s">
        <v>20</v>
      </c>
      <c r="D21" s="24" t="s">
        <v>22</v>
      </c>
      <c r="E21" s="25" t="s">
        <v>36</v>
      </c>
      <c r="F21" s="24" t="s">
        <v>18</v>
      </c>
      <c r="G21" s="20">
        <f t="shared" ref="G21:J22" si="5">G22</f>
        <v>1141.48</v>
      </c>
      <c r="H21" s="20">
        <f t="shared" si="5"/>
        <v>1141.48</v>
      </c>
      <c r="I21" s="20">
        <f t="shared" si="5"/>
        <v>1141.48</v>
      </c>
      <c r="J21" s="20">
        <f t="shared" si="5"/>
        <v>0</v>
      </c>
      <c r="K21" s="20">
        <f>K22</f>
        <v>1141.1199999999999</v>
      </c>
      <c r="L21" s="69">
        <f>SUM(L22)</f>
        <v>1139.9000000000001</v>
      </c>
      <c r="M21" s="21">
        <f t="shared" si="2"/>
        <v>99.893087492989366</v>
      </c>
    </row>
    <row r="22" spans="1:13" ht="18.600000000000001" customHeight="1">
      <c r="A22" s="22" t="s">
        <v>27</v>
      </c>
      <c r="B22" s="23">
        <v>600</v>
      </c>
      <c r="C22" s="24" t="s">
        <v>20</v>
      </c>
      <c r="D22" s="24" t="s">
        <v>22</v>
      </c>
      <c r="E22" s="25" t="s">
        <v>37</v>
      </c>
      <c r="F22" s="24" t="s">
        <v>18</v>
      </c>
      <c r="G22" s="20">
        <f t="shared" si="5"/>
        <v>1141.48</v>
      </c>
      <c r="H22" s="20">
        <f t="shared" si="5"/>
        <v>1141.48</v>
      </c>
      <c r="I22" s="20">
        <f t="shared" si="5"/>
        <v>1141.48</v>
      </c>
      <c r="J22" s="20">
        <f t="shared" si="5"/>
        <v>0</v>
      </c>
      <c r="K22" s="20">
        <f>K23</f>
        <v>1141.1199999999999</v>
      </c>
      <c r="L22" s="69">
        <f>SUM(L23)</f>
        <v>1139.9000000000001</v>
      </c>
      <c r="M22" s="21">
        <f t="shared" si="2"/>
        <v>99.893087492989366</v>
      </c>
    </row>
    <row r="23" spans="1:13" ht="78.75" customHeight="1">
      <c r="A23" s="22" t="s">
        <v>29</v>
      </c>
      <c r="B23" s="23">
        <v>600</v>
      </c>
      <c r="C23" s="24" t="s">
        <v>20</v>
      </c>
      <c r="D23" s="24" t="s">
        <v>22</v>
      </c>
      <c r="E23" s="25" t="s">
        <v>37</v>
      </c>
      <c r="F23" s="24" t="s">
        <v>30</v>
      </c>
      <c r="G23" s="20">
        <v>1141.48</v>
      </c>
      <c r="H23" s="20">
        <v>1141.48</v>
      </c>
      <c r="I23" s="20">
        <v>1141.48</v>
      </c>
      <c r="J23" s="20"/>
      <c r="K23" s="20">
        <v>1141.1199999999999</v>
      </c>
      <c r="L23" s="69">
        <v>1139.9000000000001</v>
      </c>
      <c r="M23" s="21">
        <f t="shared" si="2"/>
        <v>99.893087492989366</v>
      </c>
    </row>
    <row r="24" spans="1:13" ht="20.25" customHeight="1">
      <c r="A24" s="22" t="s">
        <v>38</v>
      </c>
      <c r="B24" s="2">
        <v>600</v>
      </c>
      <c r="C24" s="24" t="s">
        <v>20</v>
      </c>
      <c r="D24" s="24" t="s">
        <v>22</v>
      </c>
      <c r="E24" s="25" t="s">
        <v>39</v>
      </c>
      <c r="F24" s="24" t="s">
        <v>18</v>
      </c>
      <c r="G24" s="20">
        <f t="shared" ref="G24:J25" si="6">G25</f>
        <v>965.06</v>
      </c>
      <c r="H24" s="20">
        <f t="shared" si="6"/>
        <v>965.06</v>
      </c>
      <c r="I24" s="20">
        <f t="shared" si="6"/>
        <v>965.06</v>
      </c>
      <c r="J24" s="20">
        <f t="shared" si="6"/>
        <v>0</v>
      </c>
      <c r="K24" s="20">
        <f>K25</f>
        <v>1006.48</v>
      </c>
      <c r="L24" s="69">
        <f>L25</f>
        <v>1005.49</v>
      </c>
      <c r="M24" s="21">
        <f t="shared" si="2"/>
        <v>99.901637389714651</v>
      </c>
    </row>
    <row r="25" spans="1:13" ht="21" customHeight="1">
      <c r="A25" s="22" t="s">
        <v>27</v>
      </c>
      <c r="B25" s="23">
        <v>600</v>
      </c>
      <c r="C25" s="24" t="s">
        <v>20</v>
      </c>
      <c r="D25" s="24" t="s">
        <v>22</v>
      </c>
      <c r="E25" s="25" t="s">
        <v>40</v>
      </c>
      <c r="F25" s="24" t="s">
        <v>18</v>
      </c>
      <c r="G25" s="20">
        <f t="shared" si="6"/>
        <v>965.06</v>
      </c>
      <c r="H25" s="20">
        <f t="shared" si="6"/>
        <v>965.06</v>
      </c>
      <c r="I25" s="20">
        <f t="shared" si="6"/>
        <v>965.06</v>
      </c>
      <c r="J25" s="20">
        <f t="shared" si="6"/>
        <v>0</v>
      </c>
      <c r="K25" s="20">
        <f>K26</f>
        <v>1006.48</v>
      </c>
      <c r="L25" s="69">
        <f>L26</f>
        <v>1005.49</v>
      </c>
      <c r="M25" s="21">
        <f t="shared" si="2"/>
        <v>99.901637389714651</v>
      </c>
    </row>
    <row r="26" spans="1:13" ht="76.5" customHeight="1">
      <c r="A26" s="22" t="s">
        <v>29</v>
      </c>
      <c r="B26" s="23">
        <v>600</v>
      </c>
      <c r="C26" s="24" t="s">
        <v>20</v>
      </c>
      <c r="D26" s="24" t="s">
        <v>22</v>
      </c>
      <c r="E26" s="25" t="s">
        <v>40</v>
      </c>
      <c r="F26" s="24" t="s">
        <v>30</v>
      </c>
      <c r="G26" s="20">
        <v>965.06</v>
      </c>
      <c r="H26" s="20">
        <v>965.06</v>
      </c>
      <c r="I26" s="20">
        <v>965.06</v>
      </c>
      <c r="J26" s="20"/>
      <c r="K26" s="20">
        <v>1006.48</v>
      </c>
      <c r="L26" s="69">
        <v>1005.49</v>
      </c>
      <c r="M26" s="21">
        <f t="shared" si="2"/>
        <v>99.901637389714651</v>
      </c>
    </row>
    <row r="27" spans="1:13" ht="15" customHeight="1">
      <c r="A27" s="22"/>
      <c r="B27" s="23"/>
      <c r="C27" s="24"/>
      <c r="D27" s="24"/>
      <c r="E27" s="24"/>
      <c r="F27" s="24"/>
      <c r="G27" s="20"/>
      <c r="H27" s="20"/>
      <c r="I27" s="20"/>
      <c r="J27" s="20"/>
      <c r="K27" s="20"/>
      <c r="L27" s="69"/>
      <c r="M27" s="21"/>
    </row>
    <row r="28" spans="1:13" ht="19.5" customHeight="1">
      <c r="A28" s="1" t="s">
        <v>41</v>
      </c>
      <c r="B28" s="23">
        <v>601</v>
      </c>
      <c r="C28" s="24" t="s">
        <v>18</v>
      </c>
      <c r="D28" s="24" t="s">
        <v>18</v>
      </c>
      <c r="E28" s="24" t="s">
        <v>18</v>
      </c>
      <c r="F28" s="24" t="s">
        <v>18</v>
      </c>
      <c r="G28" s="26" t="e">
        <f>G29+G95+G103</f>
        <v>#REF!</v>
      </c>
      <c r="H28" s="26" t="e">
        <f>H29+H95+H103</f>
        <v>#REF!</v>
      </c>
      <c r="I28" s="26" t="e">
        <f>I29+I95+I103</f>
        <v>#REF!</v>
      </c>
      <c r="J28" s="26" t="e">
        <f>J29+J95+J103</f>
        <v>#REF!</v>
      </c>
      <c r="K28" s="20">
        <f>K29+K95+K103</f>
        <v>60456.42</v>
      </c>
      <c r="L28" s="70">
        <f>SUM(L29+L95+L103)</f>
        <v>58914.150000000009</v>
      </c>
      <c r="M28" s="21">
        <f t="shared" si="2"/>
        <v>97.448955793280533</v>
      </c>
    </row>
    <row r="29" spans="1:13" ht="19.5" customHeight="1">
      <c r="A29" s="22" t="s">
        <v>19</v>
      </c>
      <c r="B29" s="23">
        <v>601</v>
      </c>
      <c r="C29" s="24" t="s">
        <v>20</v>
      </c>
      <c r="D29" s="24" t="s">
        <v>18</v>
      </c>
      <c r="E29" s="24" t="s">
        <v>18</v>
      </c>
      <c r="F29" s="24" t="s">
        <v>18</v>
      </c>
      <c r="G29" s="20">
        <f>G30+G35+G46+G51+G56</f>
        <v>44724.17</v>
      </c>
      <c r="H29" s="20">
        <f>H30+H35+H46+H51+H56</f>
        <v>50455.109999999993</v>
      </c>
      <c r="I29" s="20">
        <f>I30+I35+I46+I51+I56</f>
        <v>50721.43</v>
      </c>
      <c r="J29" s="20">
        <f>J30+J35+J46+J51+J56</f>
        <v>4182.42</v>
      </c>
      <c r="K29" s="20">
        <f>K30+K35+K46+K56</f>
        <v>48108.5</v>
      </c>
      <c r="L29" s="69">
        <f>L30+L35+L46+L56</f>
        <v>46707.87</v>
      </c>
      <c r="M29" s="21">
        <f t="shared" si="2"/>
        <v>97.088601806333614</v>
      </c>
    </row>
    <row r="30" spans="1:13" ht="39" customHeight="1">
      <c r="A30" s="22" t="s">
        <v>42</v>
      </c>
      <c r="B30" s="23">
        <v>601</v>
      </c>
      <c r="C30" s="24" t="s">
        <v>43</v>
      </c>
      <c r="D30" s="24" t="s">
        <v>44</v>
      </c>
      <c r="E30" s="24" t="s">
        <v>18</v>
      </c>
      <c r="F30" s="24" t="s">
        <v>18</v>
      </c>
      <c r="G30" s="20">
        <f>G31</f>
        <v>1234.17</v>
      </c>
      <c r="H30" s="20">
        <f t="shared" ref="H30:I33" si="7">H31</f>
        <v>1234.17</v>
      </c>
      <c r="I30" s="20">
        <f t="shared" si="7"/>
        <v>1234.17</v>
      </c>
      <c r="J30" s="20">
        <f t="shared" ref="J30:L33" si="8">J31</f>
        <v>0</v>
      </c>
      <c r="K30" s="20">
        <f t="shared" si="8"/>
        <v>1244.17</v>
      </c>
      <c r="L30" s="69">
        <f t="shared" si="8"/>
        <v>1175.5</v>
      </c>
      <c r="M30" s="21">
        <f t="shared" si="2"/>
        <v>94.480657787922866</v>
      </c>
    </row>
    <row r="31" spans="1:13" ht="39" customHeight="1">
      <c r="A31" s="27" t="s">
        <v>45</v>
      </c>
      <c r="B31" s="23">
        <v>601</v>
      </c>
      <c r="C31" s="24" t="s">
        <v>20</v>
      </c>
      <c r="D31" s="24" t="s">
        <v>46</v>
      </c>
      <c r="E31" s="24" t="s">
        <v>47</v>
      </c>
      <c r="F31" s="24" t="s">
        <v>18</v>
      </c>
      <c r="G31" s="20">
        <f>G32</f>
        <v>1234.17</v>
      </c>
      <c r="H31" s="20">
        <f t="shared" si="7"/>
        <v>1234.17</v>
      </c>
      <c r="I31" s="20">
        <f t="shared" si="7"/>
        <v>1234.17</v>
      </c>
      <c r="J31" s="20">
        <f t="shared" si="8"/>
        <v>0</v>
      </c>
      <c r="K31" s="20">
        <f t="shared" si="8"/>
        <v>1244.17</v>
      </c>
      <c r="L31" s="69">
        <f t="shared" si="8"/>
        <v>1175.5</v>
      </c>
      <c r="M31" s="21">
        <f t="shared" si="2"/>
        <v>94.480657787922866</v>
      </c>
    </row>
    <row r="32" spans="1:13">
      <c r="A32" s="22" t="s">
        <v>48</v>
      </c>
      <c r="B32" s="23">
        <v>601</v>
      </c>
      <c r="C32" s="24" t="s">
        <v>20</v>
      </c>
      <c r="D32" s="24" t="s">
        <v>46</v>
      </c>
      <c r="E32" s="24" t="s">
        <v>49</v>
      </c>
      <c r="F32" s="24" t="s">
        <v>18</v>
      </c>
      <c r="G32" s="20">
        <f>G33</f>
        <v>1234.17</v>
      </c>
      <c r="H32" s="20">
        <f t="shared" si="7"/>
        <v>1234.17</v>
      </c>
      <c r="I32" s="20">
        <f t="shared" si="7"/>
        <v>1234.17</v>
      </c>
      <c r="J32" s="20">
        <f t="shared" si="8"/>
        <v>0</v>
      </c>
      <c r="K32" s="20">
        <f t="shared" si="8"/>
        <v>1244.17</v>
      </c>
      <c r="L32" s="69">
        <f t="shared" si="8"/>
        <v>1175.5</v>
      </c>
      <c r="M32" s="21">
        <f t="shared" si="2"/>
        <v>94.480657787922866</v>
      </c>
    </row>
    <row r="33" spans="1:13" ht="19.899999999999999" customHeight="1">
      <c r="A33" s="22" t="s">
        <v>27</v>
      </c>
      <c r="B33" s="23">
        <v>601</v>
      </c>
      <c r="C33" s="24" t="s">
        <v>20</v>
      </c>
      <c r="D33" s="24" t="s">
        <v>46</v>
      </c>
      <c r="E33" s="24" t="s">
        <v>50</v>
      </c>
      <c r="F33" s="24" t="s">
        <v>18</v>
      </c>
      <c r="G33" s="20">
        <f>G34</f>
        <v>1234.17</v>
      </c>
      <c r="H33" s="20">
        <f t="shared" si="7"/>
        <v>1234.17</v>
      </c>
      <c r="I33" s="20">
        <f t="shared" si="7"/>
        <v>1234.17</v>
      </c>
      <c r="J33" s="20">
        <f t="shared" si="8"/>
        <v>0</v>
      </c>
      <c r="K33" s="20">
        <f t="shared" si="8"/>
        <v>1244.17</v>
      </c>
      <c r="L33" s="69">
        <f t="shared" si="8"/>
        <v>1175.5</v>
      </c>
      <c r="M33" s="21">
        <f t="shared" si="2"/>
        <v>94.480657787922866</v>
      </c>
    </row>
    <row r="34" spans="1:13" ht="77.25" customHeight="1">
      <c r="A34" s="22" t="s">
        <v>29</v>
      </c>
      <c r="B34" s="23">
        <v>601</v>
      </c>
      <c r="C34" s="24" t="s">
        <v>20</v>
      </c>
      <c r="D34" s="24" t="s">
        <v>46</v>
      </c>
      <c r="E34" s="24" t="s">
        <v>50</v>
      </c>
      <c r="F34" s="24" t="s">
        <v>30</v>
      </c>
      <c r="G34" s="20">
        <v>1234.17</v>
      </c>
      <c r="H34" s="20">
        <v>1234.17</v>
      </c>
      <c r="I34" s="20">
        <v>1234.17</v>
      </c>
      <c r="J34" s="20"/>
      <c r="K34" s="20">
        <v>1244.17</v>
      </c>
      <c r="L34" s="69">
        <v>1175.5</v>
      </c>
      <c r="M34" s="21">
        <f t="shared" si="2"/>
        <v>94.480657787922866</v>
      </c>
    </row>
    <row r="35" spans="1:13" ht="58.5" customHeight="1">
      <c r="A35" s="22" t="s">
        <v>51</v>
      </c>
      <c r="B35" s="23">
        <v>601</v>
      </c>
      <c r="C35" s="24" t="s">
        <v>20</v>
      </c>
      <c r="D35" s="24" t="s">
        <v>52</v>
      </c>
      <c r="E35" s="24" t="s">
        <v>18</v>
      </c>
      <c r="F35" s="24" t="s">
        <v>18</v>
      </c>
      <c r="G35" s="20">
        <f t="shared" ref="G35:J36" si="9">G36</f>
        <v>33310.990000000005</v>
      </c>
      <c r="H35" s="20">
        <f t="shared" si="9"/>
        <v>33471.78</v>
      </c>
      <c r="I35" s="20">
        <f t="shared" si="9"/>
        <v>33601.120000000003</v>
      </c>
      <c r="J35" s="20">
        <f t="shared" si="9"/>
        <v>349.75999999999976</v>
      </c>
      <c r="K35" s="20">
        <f>K36</f>
        <v>33534.94</v>
      </c>
      <c r="L35" s="69">
        <f>L36</f>
        <v>32313.58</v>
      </c>
      <c r="M35" s="21">
        <f t="shared" si="2"/>
        <v>96.357947859754631</v>
      </c>
    </row>
    <row r="36" spans="1:13" ht="39" customHeight="1">
      <c r="A36" s="27" t="s">
        <v>45</v>
      </c>
      <c r="B36" s="23">
        <v>601</v>
      </c>
      <c r="C36" s="24" t="s">
        <v>20</v>
      </c>
      <c r="D36" s="24" t="s">
        <v>52</v>
      </c>
      <c r="E36" s="24" t="s">
        <v>47</v>
      </c>
      <c r="F36" s="24"/>
      <c r="G36" s="20">
        <f t="shared" si="9"/>
        <v>33310.990000000005</v>
      </c>
      <c r="H36" s="20">
        <f t="shared" si="9"/>
        <v>33471.78</v>
      </c>
      <c r="I36" s="20">
        <f t="shared" si="9"/>
        <v>33601.120000000003</v>
      </c>
      <c r="J36" s="20">
        <f t="shared" si="9"/>
        <v>349.75999999999976</v>
      </c>
      <c r="K36" s="20">
        <f>K37</f>
        <v>33534.94</v>
      </c>
      <c r="L36" s="69">
        <f>SUM(L37)</f>
        <v>32313.58</v>
      </c>
      <c r="M36" s="21">
        <f t="shared" si="2"/>
        <v>96.357947859754631</v>
      </c>
    </row>
    <row r="37" spans="1:13" ht="39.75" customHeight="1">
      <c r="A37" s="22" t="s">
        <v>53</v>
      </c>
      <c r="B37" s="23">
        <v>601</v>
      </c>
      <c r="C37" s="24" t="s">
        <v>20</v>
      </c>
      <c r="D37" s="24" t="s">
        <v>52</v>
      </c>
      <c r="E37" s="24" t="s">
        <v>54</v>
      </c>
      <c r="F37" s="24" t="s">
        <v>18</v>
      </c>
      <c r="G37" s="20">
        <f>G38+G42+G44</f>
        <v>33310.990000000005</v>
      </c>
      <c r="H37" s="20">
        <f>H38+H42+H44</f>
        <v>33471.78</v>
      </c>
      <c r="I37" s="20">
        <f>I38+I42+I44</f>
        <v>33601.120000000003</v>
      </c>
      <c r="J37" s="20">
        <f>J38+J42+J44</f>
        <v>349.75999999999976</v>
      </c>
      <c r="K37" s="20">
        <f>K38+K42+K44</f>
        <v>33534.94</v>
      </c>
      <c r="L37" s="69">
        <f>SUM(L38+L42+L44)</f>
        <v>32313.58</v>
      </c>
      <c r="M37" s="21">
        <f t="shared" si="2"/>
        <v>96.357947859754631</v>
      </c>
    </row>
    <row r="38" spans="1:13" ht="18" customHeight="1">
      <c r="A38" s="22" t="s">
        <v>27</v>
      </c>
      <c r="B38" s="23">
        <v>601</v>
      </c>
      <c r="C38" s="24" t="s">
        <v>20</v>
      </c>
      <c r="D38" s="24" t="s">
        <v>52</v>
      </c>
      <c r="E38" s="24" t="s">
        <v>55</v>
      </c>
      <c r="F38" s="24" t="s">
        <v>18</v>
      </c>
      <c r="G38" s="20">
        <f>G39+G40+G41</f>
        <v>33035.880000000005</v>
      </c>
      <c r="H38" s="20">
        <f>H39+H40+H41</f>
        <v>33196.67</v>
      </c>
      <c r="I38" s="20">
        <f>I39+I40+I41</f>
        <v>33324.400000000001</v>
      </c>
      <c r="J38" s="20">
        <f>J39+J40+J41</f>
        <v>349.76999999999975</v>
      </c>
      <c r="K38" s="20">
        <f>K39+K40+K41</f>
        <v>33249.65</v>
      </c>
      <c r="L38" s="69">
        <f>SUM(L39:L41)</f>
        <v>32028.29</v>
      </c>
      <c r="M38" s="21">
        <f t="shared" si="2"/>
        <v>96.326698175770261</v>
      </c>
    </row>
    <row r="39" spans="1:13" ht="80.25" customHeight="1">
      <c r="A39" s="22" t="s">
        <v>29</v>
      </c>
      <c r="B39" s="23">
        <v>601</v>
      </c>
      <c r="C39" s="24" t="s">
        <v>20</v>
      </c>
      <c r="D39" s="24" t="s">
        <v>52</v>
      </c>
      <c r="E39" s="24" t="s">
        <v>55</v>
      </c>
      <c r="F39" s="24" t="s">
        <v>30</v>
      </c>
      <c r="G39" s="20">
        <f>27446.49+35.5-539.91</f>
        <v>26942.080000000002</v>
      </c>
      <c r="H39" s="20">
        <f>27446.49+35.5-525.62</f>
        <v>26956.370000000003</v>
      </c>
      <c r="I39" s="20">
        <f>27446.49+35.5-525.62</f>
        <v>26956.370000000003</v>
      </c>
      <c r="J39" s="20">
        <f>-941.7</f>
        <v>-941.7</v>
      </c>
      <c r="K39" s="20">
        <v>26123.08</v>
      </c>
      <c r="L39" s="69">
        <v>25533.48</v>
      </c>
      <c r="M39" s="21">
        <f t="shared" si="2"/>
        <v>97.742992020848988</v>
      </c>
    </row>
    <row r="40" spans="1:13" ht="39.75" customHeight="1">
      <c r="A40" s="22" t="s">
        <v>31</v>
      </c>
      <c r="B40" s="23">
        <v>601</v>
      </c>
      <c r="C40" s="24" t="s">
        <v>20</v>
      </c>
      <c r="D40" s="24" t="s">
        <v>52</v>
      </c>
      <c r="E40" s="24" t="s">
        <v>55</v>
      </c>
      <c r="F40" s="24" t="s">
        <v>32</v>
      </c>
      <c r="G40" s="20">
        <f>5579.3-35.5</f>
        <v>5543.8</v>
      </c>
      <c r="H40" s="20">
        <f>5725.8-35.5</f>
        <v>5690.3</v>
      </c>
      <c r="I40" s="20">
        <f>5853.53-35.5</f>
        <v>5818.03</v>
      </c>
      <c r="J40" s="20">
        <f>145.38+1146.09</f>
        <v>1291.4699999999998</v>
      </c>
      <c r="K40" s="20">
        <v>7021.57</v>
      </c>
      <c r="L40" s="69">
        <v>6410.04</v>
      </c>
      <c r="M40" s="21">
        <f t="shared" si="2"/>
        <v>91.290694246443465</v>
      </c>
    </row>
    <row r="41" spans="1:13" ht="19.5" customHeight="1">
      <c r="A41" s="22" t="s">
        <v>56</v>
      </c>
      <c r="B41" s="23">
        <v>601</v>
      </c>
      <c r="C41" s="24" t="s">
        <v>20</v>
      </c>
      <c r="D41" s="24" t="s">
        <v>52</v>
      </c>
      <c r="E41" s="24" t="s">
        <v>55</v>
      </c>
      <c r="F41" s="24" t="s">
        <v>34</v>
      </c>
      <c r="G41" s="20">
        <v>550</v>
      </c>
      <c r="H41" s="20">
        <v>550</v>
      </c>
      <c r="I41" s="20">
        <v>550</v>
      </c>
      <c r="J41" s="20"/>
      <c r="K41" s="20">
        <v>105</v>
      </c>
      <c r="L41" s="69">
        <v>84.77</v>
      </c>
      <c r="M41" s="21">
        <f t="shared" si="2"/>
        <v>80.733333333333334</v>
      </c>
    </row>
    <row r="42" spans="1:13" ht="57.75" customHeight="1">
      <c r="A42" s="22" t="s">
        <v>57</v>
      </c>
      <c r="B42" s="23">
        <v>601</v>
      </c>
      <c r="C42" s="24" t="s">
        <v>20</v>
      </c>
      <c r="D42" s="24" t="s">
        <v>52</v>
      </c>
      <c r="E42" s="24" t="s">
        <v>58</v>
      </c>
      <c r="F42" s="24" t="s">
        <v>18</v>
      </c>
      <c r="G42" s="20">
        <f>G43</f>
        <v>39.229999999999997</v>
      </c>
      <c r="H42" s="20">
        <f>H43</f>
        <v>39.229999999999997</v>
      </c>
      <c r="I42" s="20">
        <f>I43</f>
        <v>39.229999999999997</v>
      </c>
      <c r="J42" s="20">
        <f>J43</f>
        <v>0</v>
      </c>
      <c r="K42" s="20">
        <f>G42+J42</f>
        <v>39.229999999999997</v>
      </c>
      <c r="L42" s="69">
        <f>L43</f>
        <v>39.229999999999997</v>
      </c>
      <c r="M42" s="21">
        <f t="shared" si="2"/>
        <v>100</v>
      </c>
    </row>
    <row r="43" spans="1:13" ht="39.75" customHeight="1">
      <c r="A43" s="22" t="s">
        <v>31</v>
      </c>
      <c r="B43" s="23">
        <v>601</v>
      </c>
      <c r="C43" s="24" t="s">
        <v>20</v>
      </c>
      <c r="D43" s="24" t="s">
        <v>52</v>
      </c>
      <c r="E43" s="24" t="s">
        <v>58</v>
      </c>
      <c r="F43" s="24" t="s">
        <v>32</v>
      </c>
      <c r="G43" s="20">
        <v>39.229999999999997</v>
      </c>
      <c r="H43" s="20">
        <v>39.229999999999997</v>
      </c>
      <c r="I43" s="20">
        <v>39.229999999999997</v>
      </c>
      <c r="J43" s="20"/>
      <c r="K43" s="20">
        <f>G43+J43</f>
        <v>39.229999999999997</v>
      </c>
      <c r="L43" s="69">
        <v>39.229999999999997</v>
      </c>
      <c r="M43" s="21">
        <f t="shared" si="2"/>
        <v>100</v>
      </c>
    </row>
    <row r="44" spans="1:13" ht="39" customHeight="1">
      <c r="A44" s="22" t="s">
        <v>59</v>
      </c>
      <c r="B44" s="23">
        <v>601</v>
      </c>
      <c r="C44" s="24" t="s">
        <v>20</v>
      </c>
      <c r="D44" s="24" t="s">
        <v>52</v>
      </c>
      <c r="E44" s="24" t="s">
        <v>60</v>
      </c>
      <c r="F44" s="24" t="s">
        <v>18</v>
      </c>
      <c r="G44" s="20">
        <f>G45</f>
        <v>235.88</v>
      </c>
      <c r="H44" s="20">
        <f>H45</f>
        <v>235.88</v>
      </c>
      <c r="I44" s="20">
        <f>I45</f>
        <v>237.49</v>
      </c>
      <c r="J44" s="20">
        <f>J45</f>
        <v>-0.01</v>
      </c>
      <c r="K44" s="20">
        <f>K45</f>
        <v>246.06</v>
      </c>
      <c r="L44" s="69">
        <f>SUM(L45)</f>
        <v>246.06</v>
      </c>
      <c r="M44" s="21">
        <f t="shared" si="2"/>
        <v>100</v>
      </c>
    </row>
    <row r="45" spans="1:13" ht="76.5" customHeight="1">
      <c r="A45" s="22" t="s">
        <v>29</v>
      </c>
      <c r="B45" s="23">
        <v>601</v>
      </c>
      <c r="C45" s="24" t="s">
        <v>20</v>
      </c>
      <c r="D45" s="24" t="s">
        <v>52</v>
      </c>
      <c r="E45" s="24" t="s">
        <v>60</v>
      </c>
      <c r="F45" s="24" t="s">
        <v>30</v>
      </c>
      <c r="G45" s="20">
        <v>235.88</v>
      </c>
      <c r="H45" s="20">
        <v>235.88</v>
      </c>
      <c r="I45" s="20">
        <v>237.49</v>
      </c>
      <c r="J45" s="20">
        <f>-0.01</f>
        <v>-0.01</v>
      </c>
      <c r="K45" s="20">
        <v>246.06</v>
      </c>
      <c r="L45" s="69">
        <v>246.06</v>
      </c>
      <c r="M45" s="21">
        <f t="shared" si="2"/>
        <v>100</v>
      </c>
    </row>
    <row r="46" spans="1:13" ht="18" customHeight="1">
      <c r="A46" s="22" t="s">
        <v>61</v>
      </c>
      <c r="B46" s="23">
        <v>601</v>
      </c>
      <c r="C46" s="24" t="s">
        <v>20</v>
      </c>
      <c r="D46" s="24" t="s">
        <v>62</v>
      </c>
      <c r="E46" s="24" t="s">
        <v>18</v>
      </c>
      <c r="F46" s="24" t="s">
        <v>18</v>
      </c>
      <c r="G46" s="20">
        <f>G47</f>
        <v>3.27</v>
      </c>
      <c r="H46" s="20">
        <f t="shared" ref="H46:I49" si="10">H47</f>
        <v>3.27</v>
      </c>
      <c r="I46" s="20">
        <f t="shared" si="10"/>
        <v>140.25</v>
      </c>
      <c r="J46" s="20">
        <f t="shared" ref="J46:L49" si="11">J47</f>
        <v>0</v>
      </c>
      <c r="K46" s="20">
        <f t="shared" si="11"/>
        <v>15.2</v>
      </c>
      <c r="L46" s="69">
        <f t="shared" si="11"/>
        <v>0</v>
      </c>
      <c r="M46" s="21">
        <f t="shared" si="2"/>
        <v>0</v>
      </c>
    </row>
    <row r="47" spans="1:13" ht="39.75" customHeight="1">
      <c r="A47" s="27" t="s">
        <v>45</v>
      </c>
      <c r="B47" s="28">
        <v>601</v>
      </c>
      <c r="C47" s="25" t="s">
        <v>20</v>
      </c>
      <c r="D47" s="25" t="s">
        <v>62</v>
      </c>
      <c r="E47" s="25" t="s">
        <v>47</v>
      </c>
      <c r="F47" s="24" t="s">
        <v>18</v>
      </c>
      <c r="G47" s="20">
        <f>G48</f>
        <v>3.27</v>
      </c>
      <c r="H47" s="20">
        <f t="shared" si="10"/>
        <v>3.27</v>
      </c>
      <c r="I47" s="20">
        <f t="shared" si="10"/>
        <v>140.25</v>
      </c>
      <c r="J47" s="20">
        <f t="shared" si="11"/>
        <v>0</v>
      </c>
      <c r="K47" s="20">
        <f t="shared" si="11"/>
        <v>15.2</v>
      </c>
      <c r="L47" s="69">
        <f t="shared" si="11"/>
        <v>0</v>
      </c>
      <c r="M47" s="21">
        <f t="shared" si="2"/>
        <v>0</v>
      </c>
    </row>
    <row r="48" spans="1:13" ht="18.75" customHeight="1">
      <c r="A48" s="22" t="s">
        <v>63</v>
      </c>
      <c r="B48" s="23">
        <v>601</v>
      </c>
      <c r="C48" s="24" t="s">
        <v>20</v>
      </c>
      <c r="D48" s="24" t="s">
        <v>62</v>
      </c>
      <c r="E48" s="24" t="s">
        <v>64</v>
      </c>
      <c r="F48" s="24" t="s">
        <v>18</v>
      </c>
      <c r="G48" s="20">
        <f>G49</f>
        <v>3.27</v>
      </c>
      <c r="H48" s="20">
        <f t="shared" si="10"/>
        <v>3.27</v>
      </c>
      <c r="I48" s="20">
        <f t="shared" si="10"/>
        <v>140.25</v>
      </c>
      <c r="J48" s="20">
        <f t="shared" si="11"/>
        <v>0</v>
      </c>
      <c r="K48" s="20">
        <f t="shared" si="11"/>
        <v>15.2</v>
      </c>
      <c r="L48" s="69">
        <f t="shared" si="11"/>
        <v>0</v>
      </c>
      <c r="M48" s="21">
        <f t="shared" si="2"/>
        <v>0</v>
      </c>
    </row>
    <row r="49" spans="1:13" ht="57" customHeight="1">
      <c r="A49" s="22" t="s">
        <v>65</v>
      </c>
      <c r="B49" s="23">
        <v>601</v>
      </c>
      <c r="C49" s="24" t="s">
        <v>20</v>
      </c>
      <c r="D49" s="24" t="s">
        <v>62</v>
      </c>
      <c r="E49" s="24" t="s">
        <v>66</v>
      </c>
      <c r="F49" s="24" t="s">
        <v>18</v>
      </c>
      <c r="G49" s="20">
        <f>G50</f>
        <v>3.27</v>
      </c>
      <c r="H49" s="20">
        <f t="shared" si="10"/>
        <v>3.27</v>
      </c>
      <c r="I49" s="20">
        <f t="shared" si="10"/>
        <v>140.25</v>
      </c>
      <c r="J49" s="20">
        <f t="shared" si="11"/>
        <v>0</v>
      </c>
      <c r="K49" s="20">
        <f t="shared" si="11"/>
        <v>15.2</v>
      </c>
      <c r="L49" s="69">
        <f t="shared" si="11"/>
        <v>0</v>
      </c>
      <c r="M49" s="21">
        <f t="shared" si="2"/>
        <v>0</v>
      </c>
    </row>
    <row r="50" spans="1:13" ht="36" customHeight="1">
      <c r="A50" s="22" t="s">
        <v>31</v>
      </c>
      <c r="B50" s="23">
        <v>601</v>
      </c>
      <c r="C50" s="24" t="s">
        <v>20</v>
      </c>
      <c r="D50" s="24" t="s">
        <v>62</v>
      </c>
      <c r="E50" s="24" t="s">
        <v>66</v>
      </c>
      <c r="F50" s="24" t="s">
        <v>32</v>
      </c>
      <c r="G50" s="20">
        <v>3.27</v>
      </c>
      <c r="H50" s="20">
        <v>3.27</v>
      </c>
      <c r="I50" s="20">
        <v>140.25</v>
      </c>
      <c r="J50" s="20"/>
      <c r="K50" s="20">
        <v>15.2</v>
      </c>
      <c r="L50" s="69">
        <v>0</v>
      </c>
      <c r="M50" s="21">
        <f t="shared" si="2"/>
        <v>0</v>
      </c>
    </row>
    <row r="51" spans="1:13" ht="18.75" hidden="1" customHeight="1">
      <c r="A51" s="22" t="s">
        <v>67</v>
      </c>
      <c r="B51" s="23">
        <v>601</v>
      </c>
      <c r="C51" s="24" t="s">
        <v>20</v>
      </c>
      <c r="D51" s="24" t="s">
        <v>68</v>
      </c>
      <c r="E51" s="24" t="s">
        <v>18</v>
      </c>
      <c r="F51" s="24" t="s">
        <v>18</v>
      </c>
      <c r="G51" s="20">
        <f>G52</f>
        <v>200</v>
      </c>
      <c r="H51" s="20">
        <f t="shared" ref="H51:I54" si="12">H52</f>
        <v>200</v>
      </c>
      <c r="I51" s="20">
        <f t="shared" si="12"/>
        <v>200</v>
      </c>
      <c r="J51" s="20">
        <f>J52</f>
        <v>0</v>
      </c>
      <c r="K51" s="20">
        <f>G51+J51</f>
        <v>200</v>
      </c>
      <c r="L51" s="69">
        <f>SUM(L52)</f>
        <v>0</v>
      </c>
      <c r="M51" s="21">
        <f t="shared" si="2"/>
        <v>0</v>
      </c>
    </row>
    <row r="52" spans="1:13" ht="38.25" hidden="1" customHeight="1">
      <c r="A52" s="27" t="s">
        <v>45</v>
      </c>
      <c r="B52" s="23">
        <v>601</v>
      </c>
      <c r="C52" s="24" t="s">
        <v>20</v>
      </c>
      <c r="D52" s="24" t="s">
        <v>68</v>
      </c>
      <c r="E52" s="24" t="s">
        <v>47</v>
      </c>
      <c r="F52" s="24" t="s">
        <v>18</v>
      </c>
      <c r="G52" s="20">
        <f>G53</f>
        <v>200</v>
      </c>
      <c r="H52" s="20">
        <f t="shared" si="12"/>
        <v>200</v>
      </c>
      <c r="I52" s="20">
        <f t="shared" si="12"/>
        <v>200</v>
      </c>
      <c r="J52" s="20">
        <f>J53</f>
        <v>0</v>
      </c>
      <c r="K52" s="20">
        <f>G52+J52</f>
        <v>200</v>
      </c>
      <c r="L52" s="69">
        <f>SUM(L53)</f>
        <v>0</v>
      </c>
      <c r="M52" s="21">
        <f t="shared" si="2"/>
        <v>0</v>
      </c>
    </row>
    <row r="53" spans="1:13" ht="19.5" hidden="1" customHeight="1">
      <c r="A53" s="22" t="s">
        <v>69</v>
      </c>
      <c r="B53" s="23">
        <v>601</v>
      </c>
      <c r="C53" s="24" t="s">
        <v>20</v>
      </c>
      <c r="D53" s="24" t="s">
        <v>68</v>
      </c>
      <c r="E53" s="24" t="s">
        <v>70</v>
      </c>
      <c r="F53" s="24" t="s">
        <v>18</v>
      </c>
      <c r="G53" s="20">
        <f>G54</f>
        <v>200</v>
      </c>
      <c r="H53" s="20">
        <f t="shared" si="12"/>
        <v>200</v>
      </c>
      <c r="I53" s="20">
        <f t="shared" si="12"/>
        <v>200</v>
      </c>
      <c r="J53" s="20">
        <f>J54</f>
        <v>0</v>
      </c>
      <c r="K53" s="20">
        <f>G53+J53</f>
        <v>200</v>
      </c>
      <c r="L53" s="69">
        <f>SUM(L54)</f>
        <v>0</v>
      </c>
      <c r="M53" s="21">
        <f t="shared" si="2"/>
        <v>0</v>
      </c>
    </row>
    <row r="54" spans="1:13" ht="18.75" hidden="1" customHeight="1">
      <c r="A54" s="22" t="s">
        <v>71</v>
      </c>
      <c r="B54" s="23">
        <v>601</v>
      </c>
      <c r="C54" s="24" t="s">
        <v>20</v>
      </c>
      <c r="D54" s="24" t="s">
        <v>68</v>
      </c>
      <c r="E54" s="24" t="s">
        <v>72</v>
      </c>
      <c r="F54" s="24" t="s">
        <v>18</v>
      </c>
      <c r="G54" s="20">
        <f>G55</f>
        <v>200</v>
      </c>
      <c r="H54" s="20">
        <f t="shared" si="12"/>
        <v>200</v>
      </c>
      <c r="I54" s="20">
        <f t="shared" si="12"/>
        <v>200</v>
      </c>
      <c r="J54" s="20">
        <f>J55</f>
        <v>0</v>
      </c>
      <c r="K54" s="20">
        <f>G54+J54</f>
        <v>200</v>
      </c>
      <c r="L54" s="69">
        <f>SUM(L55)</f>
        <v>0</v>
      </c>
      <c r="M54" s="21">
        <f t="shared" si="2"/>
        <v>0</v>
      </c>
    </row>
    <row r="55" spans="1:13" ht="19.5" hidden="1" customHeight="1">
      <c r="A55" s="22" t="s">
        <v>33</v>
      </c>
      <c r="B55" s="23">
        <v>601</v>
      </c>
      <c r="C55" s="24" t="s">
        <v>20</v>
      </c>
      <c r="D55" s="24" t="s">
        <v>68</v>
      </c>
      <c r="E55" s="24" t="s">
        <v>72</v>
      </c>
      <c r="F55" s="24" t="s">
        <v>34</v>
      </c>
      <c r="G55" s="20">
        <v>200</v>
      </c>
      <c r="H55" s="20">
        <v>200</v>
      </c>
      <c r="I55" s="20">
        <v>200</v>
      </c>
      <c r="J55" s="20"/>
      <c r="K55" s="20">
        <v>0</v>
      </c>
      <c r="L55" s="69">
        <v>0</v>
      </c>
      <c r="M55" s="21" t="e">
        <f t="shared" si="2"/>
        <v>#DIV/0!</v>
      </c>
    </row>
    <row r="56" spans="1:13" ht="19.5" customHeight="1">
      <c r="A56" s="1" t="s">
        <v>73</v>
      </c>
      <c r="B56" s="23">
        <v>601</v>
      </c>
      <c r="C56" s="24" t="s">
        <v>20</v>
      </c>
      <c r="D56" s="24" t="s">
        <v>74</v>
      </c>
      <c r="E56" s="24" t="s">
        <v>18</v>
      </c>
      <c r="F56" s="24" t="s">
        <v>18</v>
      </c>
      <c r="G56" s="20">
        <f t="shared" ref="G56:L56" si="13">G57+G74</f>
        <v>9975.74</v>
      </c>
      <c r="H56" s="20">
        <f t="shared" si="13"/>
        <v>15545.89</v>
      </c>
      <c r="I56" s="20">
        <f t="shared" si="13"/>
        <v>15545.89</v>
      </c>
      <c r="J56" s="20">
        <f t="shared" si="13"/>
        <v>3832.66</v>
      </c>
      <c r="K56" s="20">
        <f t="shared" si="13"/>
        <v>13314.189999999999</v>
      </c>
      <c r="L56" s="69">
        <f t="shared" si="13"/>
        <v>13218.789999999999</v>
      </c>
      <c r="M56" s="21">
        <f t="shared" si="2"/>
        <v>99.283471243838335</v>
      </c>
    </row>
    <row r="57" spans="1:13" ht="58.5" customHeight="1">
      <c r="A57" s="1" t="s">
        <v>75</v>
      </c>
      <c r="B57" s="23">
        <v>601</v>
      </c>
      <c r="C57" s="24" t="s">
        <v>20</v>
      </c>
      <c r="D57" s="24" t="s">
        <v>74</v>
      </c>
      <c r="E57" s="24" t="s">
        <v>76</v>
      </c>
      <c r="F57" s="24" t="s">
        <v>18</v>
      </c>
      <c r="G57" s="20">
        <f>G58+G61</f>
        <v>5090</v>
      </c>
      <c r="H57" s="20">
        <f>H58+H61</f>
        <v>10160.15</v>
      </c>
      <c r="I57" s="20">
        <f>I58+I61</f>
        <v>10160.15</v>
      </c>
      <c r="J57" s="20">
        <f>J58+J61</f>
        <v>3082.66</v>
      </c>
      <c r="K57" s="20">
        <f>K58+K61</f>
        <v>7652.66</v>
      </c>
      <c r="L57" s="69">
        <f>SUM(L58+L61)</f>
        <v>7559.1999999999989</v>
      </c>
      <c r="M57" s="21">
        <f t="shared" si="2"/>
        <v>98.778725305972031</v>
      </c>
    </row>
    <row r="58" spans="1:13" ht="55.5" customHeight="1">
      <c r="A58" s="1" t="s">
        <v>77</v>
      </c>
      <c r="B58" s="23">
        <v>601</v>
      </c>
      <c r="C58" s="24" t="s">
        <v>20</v>
      </c>
      <c r="D58" s="24" t="s">
        <v>74</v>
      </c>
      <c r="E58" s="24" t="s">
        <v>78</v>
      </c>
      <c r="F58" s="24" t="s">
        <v>18</v>
      </c>
      <c r="G58" s="20">
        <f t="shared" ref="G58:J59" si="14">G59</f>
        <v>5</v>
      </c>
      <c r="H58" s="20">
        <f t="shared" si="14"/>
        <v>5</v>
      </c>
      <c r="I58" s="20">
        <f t="shared" si="14"/>
        <v>5</v>
      </c>
      <c r="J58" s="20">
        <f t="shared" si="14"/>
        <v>0</v>
      </c>
      <c r="K58" s="20">
        <f t="shared" ref="K58:K73" si="15">G58+J58</f>
        <v>5</v>
      </c>
      <c r="L58" s="69">
        <f>SUM(L59)</f>
        <v>5</v>
      </c>
      <c r="M58" s="21">
        <f t="shared" si="2"/>
        <v>100</v>
      </c>
    </row>
    <row r="59" spans="1:13" ht="19.5" customHeight="1">
      <c r="A59" s="1" t="s">
        <v>79</v>
      </c>
      <c r="B59" s="23">
        <v>601</v>
      </c>
      <c r="C59" s="24" t="s">
        <v>20</v>
      </c>
      <c r="D59" s="24" t="s">
        <v>74</v>
      </c>
      <c r="E59" s="24" t="s">
        <v>80</v>
      </c>
      <c r="F59" s="24" t="s">
        <v>18</v>
      </c>
      <c r="G59" s="20">
        <f t="shared" si="14"/>
        <v>5</v>
      </c>
      <c r="H59" s="20">
        <f t="shared" si="14"/>
        <v>5</v>
      </c>
      <c r="I59" s="20">
        <f t="shared" si="14"/>
        <v>5</v>
      </c>
      <c r="J59" s="20">
        <f t="shared" si="14"/>
        <v>0</v>
      </c>
      <c r="K59" s="20">
        <f t="shared" si="15"/>
        <v>5</v>
      </c>
      <c r="L59" s="69">
        <f>SUM(L60)</f>
        <v>5</v>
      </c>
      <c r="M59" s="21">
        <f t="shared" si="2"/>
        <v>100</v>
      </c>
    </row>
    <row r="60" spans="1:13" ht="37.5" customHeight="1">
      <c r="A60" s="22" t="s">
        <v>31</v>
      </c>
      <c r="B60" s="23">
        <v>601</v>
      </c>
      <c r="C60" s="24" t="s">
        <v>20</v>
      </c>
      <c r="D60" s="24" t="s">
        <v>74</v>
      </c>
      <c r="E60" s="24" t="s">
        <v>80</v>
      </c>
      <c r="F60" s="24" t="s">
        <v>32</v>
      </c>
      <c r="G60" s="20">
        <v>5</v>
      </c>
      <c r="H60" s="20">
        <v>5</v>
      </c>
      <c r="I60" s="20">
        <v>5</v>
      </c>
      <c r="J60" s="20"/>
      <c r="K60" s="20">
        <f t="shared" si="15"/>
        <v>5</v>
      </c>
      <c r="L60" s="69">
        <v>5</v>
      </c>
      <c r="M60" s="21">
        <f t="shared" si="2"/>
        <v>100</v>
      </c>
    </row>
    <row r="61" spans="1:13" ht="56.25" customHeight="1">
      <c r="A61" s="1" t="s">
        <v>81</v>
      </c>
      <c r="B61" s="23">
        <v>601</v>
      </c>
      <c r="C61" s="24" t="s">
        <v>20</v>
      </c>
      <c r="D61" s="24" t="s">
        <v>74</v>
      </c>
      <c r="E61" s="24" t="s">
        <v>82</v>
      </c>
      <c r="F61" s="24"/>
      <c r="G61" s="20">
        <f>G62+G66+G68+G70+G72</f>
        <v>5085</v>
      </c>
      <c r="H61" s="20">
        <f>H62+H66+H68+H70+H72</f>
        <v>10155.15</v>
      </c>
      <c r="I61" s="20">
        <f>I62+I66+I68+I70+I72</f>
        <v>10155.15</v>
      </c>
      <c r="J61" s="20">
        <f>J62+J66+J68+J70+J72</f>
        <v>3082.66</v>
      </c>
      <c r="K61" s="20">
        <f>K62+K66+K68+K70+K72</f>
        <v>7647.66</v>
      </c>
      <c r="L61" s="69">
        <f>SUM(L62+L66+L68+L70+L72)</f>
        <v>7554.1999999999989</v>
      </c>
      <c r="M61" s="21">
        <f t="shared" si="2"/>
        <v>98.777926842982026</v>
      </c>
    </row>
    <row r="62" spans="1:13" ht="44.25" customHeight="1">
      <c r="A62" s="1" t="s">
        <v>83</v>
      </c>
      <c r="B62" s="23">
        <v>601</v>
      </c>
      <c r="C62" s="24" t="s">
        <v>20</v>
      </c>
      <c r="D62" s="24" t="s">
        <v>74</v>
      </c>
      <c r="E62" s="24" t="s">
        <v>84</v>
      </c>
      <c r="F62" s="24"/>
      <c r="G62" s="20">
        <f>G63+G64+G65</f>
        <v>4850</v>
      </c>
      <c r="H62" s="20">
        <f>H63+H64+H65</f>
        <v>10005.15</v>
      </c>
      <c r="I62" s="20">
        <f>I63+I64+I65</f>
        <v>10005.15</v>
      </c>
      <c r="J62" s="20">
        <f>J63+J64+J65</f>
        <v>-167.34</v>
      </c>
      <c r="K62" s="20">
        <f>K63+K64+K65</f>
        <v>4162.66</v>
      </c>
      <c r="L62" s="69">
        <f>SUM(L63:L65)</f>
        <v>4097.7699999999995</v>
      </c>
      <c r="M62" s="21">
        <f t="shared" si="2"/>
        <v>98.441141001186736</v>
      </c>
    </row>
    <row r="63" spans="1:13" ht="77.25" customHeight="1">
      <c r="A63" s="22" t="s">
        <v>29</v>
      </c>
      <c r="B63" s="23">
        <v>601</v>
      </c>
      <c r="C63" s="24" t="s">
        <v>20</v>
      </c>
      <c r="D63" s="24" t="s">
        <v>74</v>
      </c>
      <c r="E63" s="24" t="s">
        <v>84</v>
      </c>
      <c r="F63" s="24" t="s">
        <v>30</v>
      </c>
      <c r="G63" s="20">
        <f>3000+8.4</f>
        <v>3008.4</v>
      </c>
      <c r="H63" s="20">
        <f>7340.15+8.4</f>
        <v>7348.5499999999993</v>
      </c>
      <c r="I63" s="20">
        <f>7340.15+8.4</f>
        <v>7348.5499999999993</v>
      </c>
      <c r="J63" s="20"/>
      <c r="K63" s="20">
        <v>2976</v>
      </c>
      <c r="L63" s="69">
        <v>2917.47</v>
      </c>
      <c r="M63" s="21">
        <f t="shared" si="2"/>
        <v>98.033266129032242</v>
      </c>
    </row>
    <row r="64" spans="1:13" ht="37.5" customHeight="1">
      <c r="A64" s="22" t="s">
        <v>31</v>
      </c>
      <c r="B64" s="23">
        <v>601</v>
      </c>
      <c r="C64" s="24" t="s">
        <v>20</v>
      </c>
      <c r="D64" s="24" t="s">
        <v>74</v>
      </c>
      <c r="E64" s="24" t="s">
        <v>84</v>
      </c>
      <c r="F64" s="24" t="s">
        <v>32</v>
      </c>
      <c r="G64" s="20">
        <f>1224.9-8.4</f>
        <v>1216.5</v>
      </c>
      <c r="H64" s="20">
        <f>1889.9+150-8.4</f>
        <v>2031.5</v>
      </c>
      <c r="I64" s="20">
        <f>1889.9+150-8.4</f>
        <v>2031.5</v>
      </c>
      <c r="J64" s="20">
        <f>-167.34</f>
        <v>-167.34</v>
      </c>
      <c r="K64" s="20">
        <v>1181.56</v>
      </c>
      <c r="L64" s="69">
        <v>1177.31</v>
      </c>
      <c r="M64" s="21">
        <f t="shared" si="2"/>
        <v>99.640306036087892</v>
      </c>
    </row>
    <row r="65" spans="1:13" ht="19.5" customHeight="1">
      <c r="A65" s="22" t="s">
        <v>33</v>
      </c>
      <c r="B65" s="23">
        <v>601</v>
      </c>
      <c r="C65" s="24" t="s">
        <v>20</v>
      </c>
      <c r="D65" s="24" t="s">
        <v>74</v>
      </c>
      <c r="E65" s="24" t="s">
        <v>84</v>
      </c>
      <c r="F65" s="24" t="s">
        <v>34</v>
      </c>
      <c r="G65" s="20">
        <v>625.1</v>
      </c>
      <c r="H65" s="20">
        <v>625.1</v>
      </c>
      <c r="I65" s="20">
        <v>625.1</v>
      </c>
      <c r="J65" s="20"/>
      <c r="K65" s="20">
        <v>5.0999999999999996</v>
      </c>
      <c r="L65" s="69">
        <v>2.99</v>
      </c>
      <c r="M65" s="21">
        <f t="shared" si="2"/>
        <v>58.627450980392169</v>
      </c>
    </row>
    <row r="66" spans="1:13" ht="19.5" customHeight="1">
      <c r="A66" s="1" t="s">
        <v>85</v>
      </c>
      <c r="B66" s="23">
        <v>601</v>
      </c>
      <c r="C66" s="24" t="s">
        <v>20</v>
      </c>
      <c r="D66" s="24" t="s">
        <v>74</v>
      </c>
      <c r="E66" s="24" t="s">
        <v>86</v>
      </c>
      <c r="F66" s="24" t="s">
        <v>18</v>
      </c>
      <c r="G66" s="20">
        <f>G67</f>
        <v>20</v>
      </c>
      <c r="H66" s="20">
        <f>H67</f>
        <v>20</v>
      </c>
      <c r="I66" s="20">
        <f>I67</f>
        <v>20</v>
      </c>
      <c r="J66" s="20">
        <f>J67</f>
        <v>0</v>
      </c>
      <c r="K66" s="20">
        <f t="shared" si="15"/>
        <v>20</v>
      </c>
      <c r="L66" s="69">
        <f>SUM(L67)</f>
        <v>20</v>
      </c>
      <c r="M66" s="21">
        <f t="shared" si="2"/>
        <v>100</v>
      </c>
    </row>
    <row r="67" spans="1:13" ht="38.25" customHeight="1">
      <c r="A67" s="22" t="s">
        <v>31</v>
      </c>
      <c r="B67" s="23">
        <v>601</v>
      </c>
      <c r="C67" s="24" t="s">
        <v>20</v>
      </c>
      <c r="D67" s="24" t="s">
        <v>74</v>
      </c>
      <c r="E67" s="24" t="s">
        <v>86</v>
      </c>
      <c r="F67" s="24" t="s">
        <v>32</v>
      </c>
      <c r="G67" s="20">
        <v>20</v>
      </c>
      <c r="H67" s="20">
        <v>20</v>
      </c>
      <c r="I67" s="20">
        <v>20</v>
      </c>
      <c r="J67" s="20"/>
      <c r="K67" s="20">
        <f t="shared" si="15"/>
        <v>20</v>
      </c>
      <c r="L67" s="69">
        <v>20</v>
      </c>
      <c r="M67" s="21">
        <f t="shared" si="2"/>
        <v>100</v>
      </c>
    </row>
    <row r="68" spans="1:13" ht="38.25" customHeight="1">
      <c r="A68" s="22" t="s">
        <v>87</v>
      </c>
      <c r="B68" s="23">
        <v>601</v>
      </c>
      <c r="C68" s="24" t="s">
        <v>20</v>
      </c>
      <c r="D68" s="24" t="s">
        <v>74</v>
      </c>
      <c r="E68" s="24" t="s">
        <v>88</v>
      </c>
      <c r="F68" s="24" t="s">
        <v>18</v>
      </c>
      <c r="G68" s="20">
        <f>G69</f>
        <v>150</v>
      </c>
      <c r="H68" s="20">
        <f>H69</f>
        <v>0</v>
      </c>
      <c r="I68" s="20">
        <f>I69</f>
        <v>0</v>
      </c>
      <c r="J68" s="20">
        <f>J69</f>
        <v>0</v>
      </c>
      <c r="K68" s="20">
        <f t="shared" si="15"/>
        <v>150</v>
      </c>
      <c r="L68" s="69">
        <f>SUM(L69)</f>
        <v>148.69</v>
      </c>
      <c r="M68" s="21">
        <f t="shared" si="2"/>
        <v>99.126666666666665</v>
      </c>
    </row>
    <row r="69" spans="1:13" ht="38.25" customHeight="1">
      <c r="A69" s="22" t="s">
        <v>31</v>
      </c>
      <c r="B69" s="23">
        <v>601</v>
      </c>
      <c r="C69" s="24" t="s">
        <v>20</v>
      </c>
      <c r="D69" s="24" t="s">
        <v>74</v>
      </c>
      <c r="E69" s="24" t="s">
        <v>88</v>
      </c>
      <c r="F69" s="24" t="s">
        <v>32</v>
      </c>
      <c r="G69" s="20">
        <v>150</v>
      </c>
      <c r="H69" s="20">
        <v>0</v>
      </c>
      <c r="I69" s="20">
        <v>0</v>
      </c>
      <c r="J69" s="20"/>
      <c r="K69" s="20">
        <f t="shared" si="15"/>
        <v>150</v>
      </c>
      <c r="L69" s="69">
        <v>148.69</v>
      </c>
      <c r="M69" s="21">
        <f t="shared" si="2"/>
        <v>99.126666666666665</v>
      </c>
    </row>
    <row r="70" spans="1:13" ht="38.25" customHeight="1">
      <c r="A70" s="22" t="s">
        <v>89</v>
      </c>
      <c r="B70" s="23">
        <v>601</v>
      </c>
      <c r="C70" s="24" t="s">
        <v>20</v>
      </c>
      <c r="D70" s="24" t="s">
        <v>74</v>
      </c>
      <c r="E70" s="24" t="s">
        <v>90</v>
      </c>
      <c r="F70" s="24" t="s">
        <v>18</v>
      </c>
      <c r="G70" s="20">
        <f>G71</f>
        <v>65</v>
      </c>
      <c r="H70" s="20">
        <f>H71</f>
        <v>65</v>
      </c>
      <c r="I70" s="20">
        <f>I71</f>
        <v>65</v>
      </c>
      <c r="J70" s="20">
        <f>J71</f>
        <v>400</v>
      </c>
      <c r="K70" s="20">
        <f t="shared" si="15"/>
        <v>465</v>
      </c>
      <c r="L70" s="69">
        <f>SUM(L71)</f>
        <v>462.68</v>
      </c>
      <c r="M70" s="21">
        <f t="shared" si="2"/>
        <v>99.501075268817203</v>
      </c>
    </row>
    <row r="71" spans="1:13" ht="38.25" customHeight="1">
      <c r="A71" s="22" t="s">
        <v>31</v>
      </c>
      <c r="B71" s="23">
        <v>601</v>
      </c>
      <c r="C71" s="24" t="s">
        <v>20</v>
      </c>
      <c r="D71" s="24" t="s">
        <v>74</v>
      </c>
      <c r="E71" s="24" t="s">
        <v>90</v>
      </c>
      <c r="F71" s="24" t="s">
        <v>32</v>
      </c>
      <c r="G71" s="20">
        <v>65</v>
      </c>
      <c r="H71" s="20">
        <v>65</v>
      </c>
      <c r="I71" s="20">
        <v>65</v>
      </c>
      <c r="J71" s="20">
        <f>400</f>
        <v>400</v>
      </c>
      <c r="K71" s="20">
        <f t="shared" si="15"/>
        <v>465</v>
      </c>
      <c r="L71" s="69">
        <v>462.68</v>
      </c>
      <c r="M71" s="21">
        <f t="shared" si="2"/>
        <v>99.501075268817203</v>
      </c>
    </row>
    <row r="72" spans="1:13" ht="58.5" customHeight="1">
      <c r="A72" s="22" t="s">
        <v>91</v>
      </c>
      <c r="B72" s="23">
        <v>601</v>
      </c>
      <c r="C72" s="24" t="s">
        <v>20</v>
      </c>
      <c r="D72" s="24" t="s">
        <v>74</v>
      </c>
      <c r="E72" s="24" t="s">
        <v>92</v>
      </c>
      <c r="F72" s="24" t="s">
        <v>18</v>
      </c>
      <c r="G72" s="20">
        <f>G73</f>
        <v>0</v>
      </c>
      <c r="H72" s="20">
        <f>H73</f>
        <v>65</v>
      </c>
      <c r="I72" s="20">
        <f>I73</f>
        <v>65</v>
      </c>
      <c r="J72" s="20">
        <f>J73</f>
        <v>2850</v>
      </c>
      <c r="K72" s="20">
        <f t="shared" si="15"/>
        <v>2850</v>
      </c>
      <c r="L72" s="69">
        <f>SUM(L73)</f>
        <v>2825.06</v>
      </c>
      <c r="M72" s="21">
        <f t="shared" si="2"/>
        <v>99.12491228070175</v>
      </c>
    </row>
    <row r="73" spans="1:13" ht="38.25" customHeight="1">
      <c r="A73" s="22" t="s">
        <v>31</v>
      </c>
      <c r="B73" s="23">
        <v>601</v>
      </c>
      <c r="C73" s="24" t="s">
        <v>20</v>
      </c>
      <c r="D73" s="24" t="s">
        <v>74</v>
      </c>
      <c r="E73" s="24" t="s">
        <v>92</v>
      </c>
      <c r="F73" s="24" t="s">
        <v>32</v>
      </c>
      <c r="G73" s="20"/>
      <c r="H73" s="20">
        <v>65</v>
      </c>
      <c r="I73" s="20">
        <v>65</v>
      </c>
      <c r="J73" s="20">
        <v>2850</v>
      </c>
      <c r="K73" s="20">
        <f t="shared" si="15"/>
        <v>2850</v>
      </c>
      <c r="L73" s="69">
        <v>2825.06</v>
      </c>
      <c r="M73" s="21">
        <f t="shared" si="2"/>
        <v>99.12491228070175</v>
      </c>
    </row>
    <row r="74" spans="1:13" ht="39" customHeight="1">
      <c r="A74" s="27" t="s">
        <v>45</v>
      </c>
      <c r="B74" s="23">
        <v>601</v>
      </c>
      <c r="C74" s="24" t="s">
        <v>20</v>
      </c>
      <c r="D74" s="24" t="s">
        <v>74</v>
      </c>
      <c r="E74" s="24" t="s">
        <v>47</v>
      </c>
      <c r="F74" s="24" t="s">
        <v>18</v>
      </c>
      <c r="G74" s="20">
        <f t="shared" ref="G74:L74" si="16">G75</f>
        <v>4885.74</v>
      </c>
      <c r="H74" s="20">
        <f t="shared" si="16"/>
        <v>5385.74</v>
      </c>
      <c r="I74" s="20">
        <f t="shared" si="16"/>
        <v>5385.74</v>
      </c>
      <c r="J74" s="20">
        <f t="shared" si="16"/>
        <v>750</v>
      </c>
      <c r="K74" s="20">
        <f t="shared" si="16"/>
        <v>5661.53</v>
      </c>
      <c r="L74" s="69">
        <f t="shared" si="16"/>
        <v>5659.59</v>
      </c>
      <c r="M74" s="21">
        <f t="shared" si="2"/>
        <v>99.965733644438885</v>
      </c>
    </row>
    <row r="75" spans="1:13" ht="37.5" customHeight="1">
      <c r="A75" s="22" t="s">
        <v>93</v>
      </c>
      <c r="B75" s="23">
        <v>601</v>
      </c>
      <c r="C75" s="24" t="s">
        <v>20</v>
      </c>
      <c r="D75" s="24" t="s">
        <v>74</v>
      </c>
      <c r="E75" s="24" t="s">
        <v>94</v>
      </c>
      <c r="F75" s="24" t="s">
        <v>95</v>
      </c>
      <c r="G75" s="20">
        <f>G78+G80+G82+G85+G88+G90</f>
        <v>4885.74</v>
      </c>
      <c r="H75" s="20">
        <f>H78+H80+H82+H85+H88+H90</f>
        <v>5385.74</v>
      </c>
      <c r="I75" s="20">
        <f>I78+I80+I82+I85+I88+I90</f>
        <v>5385.74</v>
      </c>
      <c r="J75" s="20">
        <f>J78+J80+J82+J85+J88+J90</f>
        <v>750</v>
      </c>
      <c r="K75" s="20">
        <f>SUM(K76+K78+K80+K82+K85+K88+K90+K93)</f>
        <v>5661.53</v>
      </c>
      <c r="L75" s="69">
        <f>SUM(L76+L78+L80+L82+L85+L88+L90+L93)</f>
        <v>5659.59</v>
      </c>
      <c r="M75" s="21">
        <f t="shared" si="2"/>
        <v>99.965733644438885</v>
      </c>
    </row>
    <row r="76" spans="1:13" ht="37.5" customHeight="1">
      <c r="A76" s="55" t="s">
        <v>184</v>
      </c>
      <c r="B76" s="52">
        <v>601</v>
      </c>
      <c r="C76" s="53" t="s">
        <v>20</v>
      </c>
      <c r="D76" s="53" t="s">
        <v>74</v>
      </c>
      <c r="E76" s="53" t="s">
        <v>444</v>
      </c>
      <c r="F76" s="53" t="s">
        <v>18</v>
      </c>
      <c r="G76" s="20"/>
      <c r="H76" s="20"/>
      <c r="I76" s="20"/>
      <c r="J76" s="20"/>
      <c r="K76" s="20">
        <f>SUM(K77)</f>
        <v>46.34</v>
      </c>
      <c r="L76" s="69">
        <f>SUM(L77)</f>
        <v>46.34</v>
      </c>
      <c r="M76" s="21">
        <f t="shared" si="2"/>
        <v>100</v>
      </c>
    </row>
    <row r="77" spans="1:13" ht="79.5" customHeight="1">
      <c r="A77" s="55" t="s">
        <v>29</v>
      </c>
      <c r="B77" s="52">
        <v>601</v>
      </c>
      <c r="C77" s="53" t="s">
        <v>20</v>
      </c>
      <c r="D77" s="53" t="s">
        <v>74</v>
      </c>
      <c r="E77" s="53" t="s">
        <v>444</v>
      </c>
      <c r="F77" s="54" t="s">
        <v>30</v>
      </c>
      <c r="G77" s="20"/>
      <c r="H77" s="20"/>
      <c r="I77" s="20"/>
      <c r="J77" s="20"/>
      <c r="K77" s="20">
        <v>46.34</v>
      </c>
      <c r="L77" s="69">
        <v>46.34</v>
      </c>
      <c r="M77" s="21">
        <f t="shared" si="2"/>
        <v>100</v>
      </c>
    </row>
    <row r="78" spans="1:13" ht="18.75" customHeight="1">
      <c r="A78" s="22" t="s">
        <v>96</v>
      </c>
      <c r="B78" s="23">
        <v>601</v>
      </c>
      <c r="C78" s="24" t="s">
        <v>20</v>
      </c>
      <c r="D78" s="24" t="s">
        <v>74</v>
      </c>
      <c r="E78" s="24" t="s">
        <v>97</v>
      </c>
      <c r="F78" s="24" t="s">
        <v>18</v>
      </c>
      <c r="G78" s="20">
        <f>G79</f>
        <v>148.36000000000001</v>
      </c>
      <c r="H78" s="20">
        <f>H79</f>
        <v>148.36000000000001</v>
      </c>
      <c r="I78" s="20">
        <f>I79</f>
        <v>148.36000000000001</v>
      </c>
      <c r="J78" s="20">
        <f>J79</f>
        <v>0</v>
      </c>
      <c r="K78" s="20">
        <f>G78+J78</f>
        <v>148.36000000000001</v>
      </c>
      <c r="L78" s="69">
        <f>SUM(L79)</f>
        <v>147.61000000000001</v>
      </c>
      <c r="M78" s="21">
        <f t="shared" si="2"/>
        <v>99.494472903747649</v>
      </c>
    </row>
    <row r="79" spans="1:13" ht="37.5" customHeight="1">
      <c r="A79" s="22" t="s">
        <v>31</v>
      </c>
      <c r="B79" s="23">
        <v>601</v>
      </c>
      <c r="C79" s="24" t="s">
        <v>20</v>
      </c>
      <c r="D79" s="24" t="s">
        <v>74</v>
      </c>
      <c r="E79" s="24" t="s">
        <v>97</v>
      </c>
      <c r="F79" s="24" t="s">
        <v>32</v>
      </c>
      <c r="G79" s="20">
        <v>148.36000000000001</v>
      </c>
      <c r="H79" s="20">
        <v>148.36000000000001</v>
      </c>
      <c r="I79" s="20">
        <v>148.36000000000001</v>
      </c>
      <c r="J79" s="20"/>
      <c r="K79" s="20">
        <f>G79+J79</f>
        <v>148.36000000000001</v>
      </c>
      <c r="L79" s="69">
        <v>147.61000000000001</v>
      </c>
      <c r="M79" s="21">
        <f t="shared" ref="M79:M145" si="17">SUM(L79/K79*100)</f>
        <v>99.494472903747649</v>
      </c>
    </row>
    <row r="80" spans="1:13" ht="38.25" customHeight="1">
      <c r="A80" s="22" t="s">
        <v>98</v>
      </c>
      <c r="B80" s="23">
        <v>601</v>
      </c>
      <c r="C80" s="24" t="s">
        <v>20</v>
      </c>
      <c r="D80" s="24" t="s">
        <v>74</v>
      </c>
      <c r="E80" s="24" t="s">
        <v>99</v>
      </c>
      <c r="F80" s="24" t="s">
        <v>18</v>
      </c>
      <c r="G80" s="20">
        <f>G81</f>
        <v>50</v>
      </c>
      <c r="H80" s="20">
        <f>H81</f>
        <v>50</v>
      </c>
      <c r="I80" s="20">
        <f>I81</f>
        <v>50</v>
      </c>
      <c r="J80" s="20">
        <f>J81</f>
        <v>0</v>
      </c>
      <c r="K80" s="20">
        <f>K81</f>
        <v>90</v>
      </c>
      <c r="L80" s="69">
        <f>SUM(L81)</f>
        <v>89.04</v>
      </c>
      <c r="M80" s="21">
        <f t="shared" si="17"/>
        <v>98.933333333333337</v>
      </c>
    </row>
    <row r="81" spans="1:13" ht="37.5" customHeight="1">
      <c r="A81" s="22" t="s">
        <v>31</v>
      </c>
      <c r="B81" s="23">
        <v>601</v>
      </c>
      <c r="C81" s="24" t="s">
        <v>20</v>
      </c>
      <c r="D81" s="24" t="s">
        <v>74</v>
      </c>
      <c r="E81" s="24" t="s">
        <v>99</v>
      </c>
      <c r="F81" s="24" t="s">
        <v>32</v>
      </c>
      <c r="G81" s="20">
        <v>50</v>
      </c>
      <c r="H81" s="20">
        <v>50</v>
      </c>
      <c r="I81" s="20">
        <v>50</v>
      </c>
      <c r="J81" s="20"/>
      <c r="K81" s="20">
        <v>90</v>
      </c>
      <c r="L81" s="69">
        <v>89.04</v>
      </c>
      <c r="M81" s="21">
        <f t="shared" si="17"/>
        <v>98.933333333333337</v>
      </c>
    </row>
    <row r="82" spans="1:13" ht="38.25" customHeight="1">
      <c r="A82" s="22" t="s">
        <v>100</v>
      </c>
      <c r="B82" s="23">
        <v>601</v>
      </c>
      <c r="C82" s="24" t="s">
        <v>20</v>
      </c>
      <c r="D82" s="24" t="s">
        <v>74</v>
      </c>
      <c r="E82" s="24" t="s">
        <v>101</v>
      </c>
      <c r="F82" s="24" t="s">
        <v>18</v>
      </c>
      <c r="G82" s="20">
        <f>G83+G84</f>
        <v>500</v>
      </c>
      <c r="H82" s="20">
        <f>H83+H84</f>
        <v>1000</v>
      </c>
      <c r="I82" s="20">
        <f>I83+I84</f>
        <v>1000</v>
      </c>
      <c r="J82" s="20">
        <f>J83+J84</f>
        <v>700</v>
      </c>
      <c r="K82" s="20">
        <f>G82+J82</f>
        <v>1200</v>
      </c>
      <c r="L82" s="69">
        <f>SUM(L83:L84)</f>
        <v>1199.77</v>
      </c>
      <c r="M82" s="21">
        <f t="shared" si="17"/>
        <v>99.980833333333337</v>
      </c>
    </row>
    <row r="83" spans="1:13" ht="38.25" customHeight="1">
      <c r="A83" s="22" t="s">
        <v>102</v>
      </c>
      <c r="B83" s="23">
        <v>601</v>
      </c>
      <c r="C83" s="24" t="s">
        <v>20</v>
      </c>
      <c r="D83" s="24" t="s">
        <v>74</v>
      </c>
      <c r="E83" s="24" t="s">
        <v>101</v>
      </c>
      <c r="F83" s="24" t="s">
        <v>32</v>
      </c>
      <c r="G83" s="20">
        <v>500</v>
      </c>
      <c r="H83" s="20">
        <v>500</v>
      </c>
      <c r="I83" s="20">
        <v>500</v>
      </c>
      <c r="J83" s="20"/>
      <c r="K83" s="20">
        <f>G83+J83</f>
        <v>500</v>
      </c>
      <c r="L83" s="69">
        <v>499.77</v>
      </c>
      <c r="M83" s="21">
        <f t="shared" si="17"/>
        <v>99.953999999999994</v>
      </c>
    </row>
    <row r="84" spans="1:13" ht="16.5" customHeight="1">
      <c r="A84" s="22" t="s">
        <v>33</v>
      </c>
      <c r="B84" s="23">
        <v>601</v>
      </c>
      <c r="C84" s="24" t="s">
        <v>20</v>
      </c>
      <c r="D84" s="24" t="s">
        <v>74</v>
      </c>
      <c r="E84" s="24" t="s">
        <v>101</v>
      </c>
      <c r="F84" s="24" t="s">
        <v>34</v>
      </c>
      <c r="G84" s="20"/>
      <c r="H84" s="20">
        <v>500</v>
      </c>
      <c r="I84" s="20">
        <v>500</v>
      </c>
      <c r="J84" s="20">
        <v>700</v>
      </c>
      <c r="K84" s="20">
        <f>G84+J84</f>
        <v>700</v>
      </c>
      <c r="L84" s="69">
        <v>700</v>
      </c>
      <c r="M84" s="21">
        <f t="shared" si="17"/>
        <v>100</v>
      </c>
    </row>
    <row r="85" spans="1:13" ht="36.75" customHeight="1">
      <c r="A85" s="22" t="s">
        <v>103</v>
      </c>
      <c r="B85" s="23">
        <v>601</v>
      </c>
      <c r="C85" s="24" t="s">
        <v>20</v>
      </c>
      <c r="D85" s="24" t="s">
        <v>74</v>
      </c>
      <c r="E85" s="24" t="s">
        <v>104</v>
      </c>
      <c r="F85" s="24" t="s">
        <v>18</v>
      </c>
      <c r="G85" s="20">
        <f>G86+G87</f>
        <v>3337.38</v>
      </c>
      <c r="H85" s="20">
        <f>H86+H87</f>
        <v>3337.38</v>
      </c>
      <c r="I85" s="20">
        <f>I86+I87</f>
        <v>3337.38</v>
      </c>
      <c r="J85" s="20">
        <f>J86+J87</f>
        <v>0</v>
      </c>
      <c r="K85" s="20">
        <f>G85+J85</f>
        <v>3337.38</v>
      </c>
      <c r="L85" s="69">
        <f>SUM(L86:L87)</f>
        <v>3337.38</v>
      </c>
      <c r="M85" s="21">
        <f t="shared" si="17"/>
        <v>100</v>
      </c>
    </row>
    <row r="86" spans="1:13" ht="36.75" customHeight="1">
      <c r="A86" s="22" t="s">
        <v>102</v>
      </c>
      <c r="B86" s="23">
        <v>601</v>
      </c>
      <c r="C86" s="24" t="s">
        <v>20</v>
      </c>
      <c r="D86" s="24" t="s">
        <v>74</v>
      </c>
      <c r="E86" s="24" t="s">
        <v>104</v>
      </c>
      <c r="F86" s="24" t="s">
        <v>32</v>
      </c>
      <c r="G86" s="20">
        <v>3337.38</v>
      </c>
      <c r="H86" s="20">
        <v>3337.38</v>
      </c>
      <c r="I86" s="20">
        <v>3337.38</v>
      </c>
      <c r="J86" s="20">
        <f>-2375</f>
        <v>-2375</v>
      </c>
      <c r="K86" s="20">
        <v>853.27</v>
      </c>
      <c r="L86" s="69">
        <v>853.27</v>
      </c>
      <c r="M86" s="21">
        <f t="shared" si="17"/>
        <v>100</v>
      </c>
    </row>
    <row r="87" spans="1:13" ht="36.75" customHeight="1">
      <c r="A87" s="22" t="s">
        <v>105</v>
      </c>
      <c r="B87" s="23">
        <v>601</v>
      </c>
      <c r="C87" s="24" t="s">
        <v>20</v>
      </c>
      <c r="D87" s="24" t="s">
        <v>74</v>
      </c>
      <c r="E87" s="24" t="s">
        <v>104</v>
      </c>
      <c r="F87" s="24" t="s">
        <v>106</v>
      </c>
      <c r="G87" s="20"/>
      <c r="H87" s="20"/>
      <c r="I87" s="20"/>
      <c r="J87" s="20">
        <f>2375</f>
        <v>2375</v>
      </c>
      <c r="K87" s="20">
        <v>2484.11</v>
      </c>
      <c r="L87" s="69">
        <v>2484.11</v>
      </c>
      <c r="M87" s="21">
        <f t="shared" si="17"/>
        <v>100</v>
      </c>
    </row>
    <row r="88" spans="1:13" ht="36.75" hidden="1" customHeight="1">
      <c r="A88" s="22" t="s">
        <v>107</v>
      </c>
      <c r="B88" s="23">
        <v>601</v>
      </c>
      <c r="C88" s="24" t="s">
        <v>20</v>
      </c>
      <c r="D88" s="24" t="s">
        <v>74</v>
      </c>
      <c r="E88" s="24" t="s">
        <v>108</v>
      </c>
      <c r="F88" s="24" t="s">
        <v>18</v>
      </c>
      <c r="G88" s="20">
        <f>G89</f>
        <v>10</v>
      </c>
      <c r="H88" s="20">
        <f>H89</f>
        <v>10</v>
      </c>
      <c r="I88" s="20">
        <f>I89</f>
        <v>10</v>
      </c>
      <c r="J88" s="20">
        <f>J89</f>
        <v>0</v>
      </c>
      <c r="K88" s="20">
        <v>0</v>
      </c>
      <c r="L88" s="69">
        <f>SUM(L89)</f>
        <v>0</v>
      </c>
      <c r="M88" s="21" t="e">
        <f t="shared" si="17"/>
        <v>#DIV/0!</v>
      </c>
    </row>
    <row r="89" spans="1:13" ht="36.75" hidden="1" customHeight="1">
      <c r="A89" s="22" t="s">
        <v>31</v>
      </c>
      <c r="B89" s="23">
        <v>601</v>
      </c>
      <c r="C89" s="24" t="s">
        <v>20</v>
      </c>
      <c r="D89" s="24" t="s">
        <v>74</v>
      </c>
      <c r="E89" s="24" t="s">
        <v>108</v>
      </c>
      <c r="F89" s="24" t="s">
        <v>32</v>
      </c>
      <c r="G89" s="20">
        <v>10</v>
      </c>
      <c r="H89" s="20">
        <v>10</v>
      </c>
      <c r="I89" s="20">
        <v>10</v>
      </c>
      <c r="J89" s="20"/>
      <c r="K89" s="20">
        <v>0</v>
      </c>
      <c r="L89" s="69">
        <v>0</v>
      </c>
      <c r="M89" s="21" t="e">
        <f t="shared" si="17"/>
        <v>#DIV/0!</v>
      </c>
    </row>
    <row r="90" spans="1:13" ht="38.25" customHeight="1">
      <c r="A90" s="1" t="s">
        <v>109</v>
      </c>
      <c r="B90" s="23">
        <v>601</v>
      </c>
      <c r="C90" s="24" t="s">
        <v>20</v>
      </c>
      <c r="D90" s="24" t="s">
        <v>74</v>
      </c>
      <c r="E90" s="24" t="s">
        <v>110</v>
      </c>
      <c r="F90" s="24" t="s">
        <v>95</v>
      </c>
      <c r="G90" s="20">
        <f>G91</f>
        <v>840</v>
      </c>
      <c r="H90" s="20">
        <f>H91</f>
        <v>840</v>
      </c>
      <c r="I90" s="20">
        <f>I91</f>
        <v>840</v>
      </c>
      <c r="J90" s="20">
        <f>J91</f>
        <v>50</v>
      </c>
      <c r="K90" s="20">
        <f>K91+K92</f>
        <v>838.2</v>
      </c>
      <c r="L90" s="69">
        <f>L91+L92</f>
        <v>838.2</v>
      </c>
      <c r="M90" s="21">
        <f t="shared" si="17"/>
        <v>100</v>
      </c>
    </row>
    <row r="91" spans="1:13" ht="77.25" customHeight="1">
      <c r="A91" s="22" t="s">
        <v>29</v>
      </c>
      <c r="B91" s="23">
        <v>601</v>
      </c>
      <c r="C91" s="24" t="s">
        <v>20</v>
      </c>
      <c r="D91" s="24" t="s">
        <v>74</v>
      </c>
      <c r="E91" s="24" t="s">
        <v>110</v>
      </c>
      <c r="F91" s="24" t="s">
        <v>30</v>
      </c>
      <c r="G91" s="20">
        <v>840</v>
      </c>
      <c r="H91" s="20">
        <v>840</v>
      </c>
      <c r="I91" s="20">
        <v>840</v>
      </c>
      <c r="J91" s="20">
        <f>50</f>
        <v>50</v>
      </c>
      <c r="K91" s="20">
        <v>796.75</v>
      </c>
      <c r="L91" s="69">
        <v>796.75</v>
      </c>
      <c r="M91" s="21">
        <f t="shared" si="17"/>
        <v>100</v>
      </c>
    </row>
    <row r="92" spans="1:13" ht="42.75" customHeight="1">
      <c r="A92" s="22" t="s">
        <v>102</v>
      </c>
      <c r="B92" s="23">
        <v>601</v>
      </c>
      <c r="C92" s="24" t="s">
        <v>20</v>
      </c>
      <c r="D92" s="24" t="s">
        <v>74</v>
      </c>
      <c r="E92" s="24" t="s">
        <v>110</v>
      </c>
      <c r="F92" s="24" t="s">
        <v>32</v>
      </c>
      <c r="G92" s="20"/>
      <c r="H92" s="20"/>
      <c r="I92" s="20"/>
      <c r="J92" s="20"/>
      <c r="K92" s="20">
        <v>41.45</v>
      </c>
      <c r="L92" s="69">
        <v>41.45</v>
      </c>
      <c r="M92" s="21">
        <f t="shared" si="17"/>
        <v>100</v>
      </c>
    </row>
    <row r="93" spans="1:13" ht="42" customHeight="1">
      <c r="A93" s="22" t="s">
        <v>456</v>
      </c>
      <c r="B93" s="23">
        <v>601</v>
      </c>
      <c r="C93" s="24" t="s">
        <v>20</v>
      </c>
      <c r="D93" s="24" t="s">
        <v>74</v>
      </c>
      <c r="E93" s="24" t="s">
        <v>455</v>
      </c>
      <c r="F93" s="24" t="s">
        <v>18</v>
      </c>
      <c r="G93" s="20"/>
      <c r="H93" s="20"/>
      <c r="I93" s="20"/>
      <c r="J93" s="20"/>
      <c r="K93" s="20">
        <f>K94</f>
        <v>1.25</v>
      </c>
      <c r="L93" s="69">
        <f>L94</f>
        <v>1.25</v>
      </c>
      <c r="M93" s="21">
        <f t="shared" si="17"/>
        <v>100</v>
      </c>
    </row>
    <row r="94" spans="1:13" ht="40.5" customHeight="1">
      <c r="A94" s="22" t="s">
        <v>31</v>
      </c>
      <c r="B94" s="23">
        <v>601</v>
      </c>
      <c r="C94" s="24" t="s">
        <v>20</v>
      </c>
      <c r="D94" s="24" t="s">
        <v>74</v>
      </c>
      <c r="E94" s="24" t="s">
        <v>455</v>
      </c>
      <c r="F94" s="24" t="s">
        <v>32</v>
      </c>
      <c r="G94" s="20"/>
      <c r="H94" s="20"/>
      <c r="I94" s="20"/>
      <c r="J94" s="20"/>
      <c r="K94" s="20">
        <v>1.25</v>
      </c>
      <c r="L94" s="69">
        <v>1.25</v>
      </c>
      <c r="M94" s="21">
        <f t="shared" si="17"/>
        <v>100</v>
      </c>
    </row>
    <row r="95" spans="1:13" ht="20.25" customHeight="1">
      <c r="A95" s="29" t="s">
        <v>111</v>
      </c>
      <c r="B95" s="23">
        <v>601</v>
      </c>
      <c r="C95" s="24" t="s">
        <v>22</v>
      </c>
      <c r="D95" s="24" t="s">
        <v>18</v>
      </c>
      <c r="E95" s="24" t="s">
        <v>18</v>
      </c>
      <c r="F95" s="24" t="s">
        <v>18</v>
      </c>
      <c r="G95" s="20">
        <f>G96</f>
        <v>11000</v>
      </c>
      <c r="H95" s="20">
        <f t="shared" ref="H95:I97" si="18">H96</f>
        <v>11000</v>
      </c>
      <c r="I95" s="20">
        <f t="shared" si="18"/>
        <v>11000</v>
      </c>
      <c r="J95" s="20">
        <f t="shared" ref="J95:L98" si="19">J96</f>
        <v>200</v>
      </c>
      <c r="K95" s="20">
        <f t="shared" si="19"/>
        <v>11550</v>
      </c>
      <c r="L95" s="69">
        <f t="shared" si="19"/>
        <v>11493.95</v>
      </c>
      <c r="M95" s="21">
        <f t="shared" si="17"/>
        <v>99.514718614718618</v>
      </c>
    </row>
    <row r="96" spans="1:13" ht="39.75" customHeight="1">
      <c r="A96" s="22" t="s">
        <v>112</v>
      </c>
      <c r="B96" s="23">
        <v>601</v>
      </c>
      <c r="C96" s="24" t="s">
        <v>22</v>
      </c>
      <c r="D96" s="24" t="s">
        <v>113</v>
      </c>
      <c r="E96" s="24" t="s">
        <v>18</v>
      </c>
      <c r="F96" s="24" t="s">
        <v>18</v>
      </c>
      <c r="G96" s="20">
        <f>G97</f>
        <v>11000</v>
      </c>
      <c r="H96" s="20">
        <f t="shared" si="18"/>
        <v>11000</v>
      </c>
      <c r="I96" s="20">
        <f t="shared" si="18"/>
        <v>11000</v>
      </c>
      <c r="J96" s="20">
        <f t="shared" si="19"/>
        <v>200</v>
      </c>
      <c r="K96" s="20">
        <f t="shared" si="19"/>
        <v>11550</v>
      </c>
      <c r="L96" s="69">
        <f t="shared" si="19"/>
        <v>11493.95</v>
      </c>
      <c r="M96" s="21">
        <f t="shared" si="17"/>
        <v>99.514718614718618</v>
      </c>
    </row>
    <row r="97" spans="1:13" ht="60" customHeight="1">
      <c r="A97" s="1" t="s">
        <v>114</v>
      </c>
      <c r="B97" s="23">
        <v>601</v>
      </c>
      <c r="C97" s="24" t="s">
        <v>22</v>
      </c>
      <c r="D97" s="24" t="s">
        <v>113</v>
      </c>
      <c r="E97" s="24" t="s">
        <v>115</v>
      </c>
      <c r="F97" s="24" t="s">
        <v>18</v>
      </c>
      <c r="G97" s="20">
        <f>G98</f>
        <v>11000</v>
      </c>
      <c r="H97" s="20">
        <f t="shared" si="18"/>
        <v>11000</v>
      </c>
      <c r="I97" s="20">
        <f t="shared" si="18"/>
        <v>11000</v>
      </c>
      <c r="J97" s="20">
        <f t="shared" si="19"/>
        <v>200</v>
      </c>
      <c r="K97" s="20">
        <f t="shared" si="19"/>
        <v>11550</v>
      </c>
      <c r="L97" s="69">
        <f t="shared" si="19"/>
        <v>11493.95</v>
      </c>
      <c r="M97" s="21">
        <f t="shared" si="17"/>
        <v>99.514718614718618</v>
      </c>
    </row>
    <row r="98" spans="1:13" ht="19.5" customHeight="1">
      <c r="A98" s="1" t="s">
        <v>116</v>
      </c>
      <c r="B98" s="23">
        <v>601</v>
      </c>
      <c r="C98" s="24" t="s">
        <v>22</v>
      </c>
      <c r="D98" s="24" t="s">
        <v>113</v>
      </c>
      <c r="E98" s="24" t="s">
        <v>117</v>
      </c>
      <c r="F98" s="24" t="s">
        <v>18</v>
      </c>
      <c r="G98" s="20">
        <f>G99</f>
        <v>11000</v>
      </c>
      <c r="H98" s="20">
        <f>H99</f>
        <v>11000</v>
      </c>
      <c r="I98" s="20">
        <f>I99</f>
        <v>11000</v>
      </c>
      <c r="J98" s="20">
        <f t="shared" si="19"/>
        <v>200</v>
      </c>
      <c r="K98" s="20">
        <f t="shared" si="19"/>
        <v>11550</v>
      </c>
      <c r="L98" s="69">
        <f t="shared" si="19"/>
        <v>11493.95</v>
      </c>
      <c r="M98" s="21">
        <f t="shared" si="17"/>
        <v>99.514718614718618</v>
      </c>
    </row>
    <row r="99" spans="1:13" ht="39" customHeight="1">
      <c r="A99" s="1" t="s">
        <v>118</v>
      </c>
      <c r="B99" s="23">
        <v>601</v>
      </c>
      <c r="C99" s="24" t="s">
        <v>22</v>
      </c>
      <c r="D99" s="24" t="s">
        <v>113</v>
      </c>
      <c r="E99" s="24" t="s">
        <v>119</v>
      </c>
      <c r="F99" s="24" t="s">
        <v>18</v>
      </c>
      <c r="G99" s="20">
        <f t="shared" ref="G99:L99" si="20">G100+G101+G102</f>
        <v>11000</v>
      </c>
      <c r="H99" s="20">
        <f t="shared" si="20"/>
        <v>11000</v>
      </c>
      <c r="I99" s="20">
        <f t="shared" si="20"/>
        <v>11000</v>
      </c>
      <c r="J99" s="20">
        <f t="shared" si="20"/>
        <v>200</v>
      </c>
      <c r="K99" s="20">
        <f t="shared" si="20"/>
        <v>11550</v>
      </c>
      <c r="L99" s="69">
        <f t="shared" si="20"/>
        <v>11493.95</v>
      </c>
      <c r="M99" s="21">
        <f t="shared" si="17"/>
        <v>99.514718614718618</v>
      </c>
    </row>
    <row r="100" spans="1:13" ht="75.75" customHeight="1">
      <c r="A100" s="22" t="s">
        <v>29</v>
      </c>
      <c r="B100" s="23">
        <v>601</v>
      </c>
      <c r="C100" s="24" t="s">
        <v>22</v>
      </c>
      <c r="D100" s="24" t="s">
        <v>113</v>
      </c>
      <c r="E100" s="24" t="s">
        <v>119</v>
      </c>
      <c r="F100" s="24" t="s">
        <v>30</v>
      </c>
      <c r="G100" s="20">
        <f>9765.1+9.9</f>
        <v>9775</v>
      </c>
      <c r="H100" s="20">
        <f>9765.1+9.9</f>
        <v>9775</v>
      </c>
      <c r="I100" s="20">
        <f>9765.1+9.9</f>
        <v>9775</v>
      </c>
      <c r="J100" s="20"/>
      <c r="K100" s="20">
        <v>9850.5</v>
      </c>
      <c r="L100" s="69">
        <v>9814.2099999999991</v>
      </c>
      <c r="M100" s="21">
        <f t="shared" si="17"/>
        <v>99.631592304959128</v>
      </c>
    </row>
    <row r="101" spans="1:13" ht="38.25" customHeight="1">
      <c r="A101" s="22" t="s">
        <v>31</v>
      </c>
      <c r="B101" s="23">
        <v>601</v>
      </c>
      <c r="C101" s="24" t="s">
        <v>22</v>
      </c>
      <c r="D101" s="24" t="s">
        <v>113</v>
      </c>
      <c r="E101" s="24" t="s">
        <v>119</v>
      </c>
      <c r="F101" s="24" t="s">
        <v>32</v>
      </c>
      <c r="G101" s="20">
        <f>1129.7-9.9</f>
        <v>1119.8</v>
      </c>
      <c r="H101" s="20">
        <f>1129.7-9.9</f>
        <v>1119.8</v>
      </c>
      <c r="I101" s="20">
        <f>1129.7-9.9</f>
        <v>1119.8</v>
      </c>
      <c r="J101" s="20">
        <f>200</f>
        <v>200</v>
      </c>
      <c r="K101" s="20">
        <v>1600.3</v>
      </c>
      <c r="L101" s="69">
        <v>1580.54</v>
      </c>
      <c r="M101" s="21">
        <f t="shared" si="17"/>
        <v>98.765231519090165</v>
      </c>
    </row>
    <row r="102" spans="1:13" ht="21" customHeight="1">
      <c r="A102" s="22" t="s">
        <v>33</v>
      </c>
      <c r="B102" s="23">
        <v>601</v>
      </c>
      <c r="C102" s="24" t="s">
        <v>22</v>
      </c>
      <c r="D102" s="24" t="s">
        <v>113</v>
      </c>
      <c r="E102" s="24" t="s">
        <v>119</v>
      </c>
      <c r="F102" s="24" t="s">
        <v>34</v>
      </c>
      <c r="G102" s="20">
        <v>105.2</v>
      </c>
      <c r="H102" s="20">
        <f>105.2</f>
        <v>105.2</v>
      </c>
      <c r="I102" s="20">
        <f>105.2</f>
        <v>105.2</v>
      </c>
      <c r="J102" s="20"/>
      <c r="K102" s="20">
        <v>99.2</v>
      </c>
      <c r="L102" s="69">
        <v>99.2</v>
      </c>
      <c r="M102" s="21">
        <f t="shared" si="17"/>
        <v>100</v>
      </c>
    </row>
    <row r="103" spans="1:13" ht="21" customHeight="1">
      <c r="A103" s="22" t="s">
        <v>120</v>
      </c>
      <c r="B103" s="23">
        <v>601</v>
      </c>
      <c r="C103" s="24" t="s">
        <v>52</v>
      </c>
      <c r="D103" s="24" t="s">
        <v>18</v>
      </c>
      <c r="E103" s="24" t="s">
        <v>18</v>
      </c>
      <c r="F103" s="24" t="s">
        <v>18</v>
      </c>
      <c r="G103" s="20" t="e">
        <f t="shared" ref="G103:L103" si="21">G104+G109</f>
        <v>#REF!</v>
      </c>
      <c r="H103" s="20" t="e">
        <f t="shared" si="21"/>
        <v>#REF!</v>
      </c>
      <c r="I103" s="20" t="e">
        <f t="shared" si="21"/>
        <v>#REF!</v>
      </c>
      <c r="J103" s="20" t="e">
        <f t="shared" si="21"/>
        <v>#REF!</v>
      </c>
      <c r="K103" s="20">
        <f t="shared" si="21"/>
        <v>797.92000000000007</v>
      </c>
      <c r="L103" s="69">
        <f t="shared" si="21"/>
        <v>712.32999999999993</v>
      </c>
      <c r="M103" s="21">
        <f t="shared" si="17"/>
        <v>89.273360737918566</v>
      </c>
    </row>
    <row r="104" spans="1:13" ht="20.25" customHeight="1">
      <c r="A104" s="22" t="s">
        <v>121</v>
      </c>
      <c r="B104" s="23">
        <v>601</v>
      </c>
      <c r="C104" s="24" t="s">
        <v>52</v>
      </c>
      <c r="D104" s="24" t="s">
        <v>122</v>
      </c>
      <c r="E104" s="24" t="s">
        <v>18</v>
      </c>
      <c r="F104" s="24" t="s">
        <v>18</v>
      </c>
      <c r="G104" s="20">
        <f>G105</f>
        <v>50</v>
      </c>
      <c r="H104" s="20">
        <f>H105</f>
        <v>50</v>
      </c>
      <c r="I104" s="20">
        <f>I105</f>
        <v>50</v>
      </c>
      <c r="J104" s="20">
        <f>J105</f>
        <v>0</v>
      </c>
      <c r="K104" s="20">
        <f>G104+J104</f>
        <v>50</v>
      </c>
      <c r="L104" s="69">
        <f>L105</f>
        <v>49.81</v>
      </c>
      <c r="M104" s="21">
        <f t="shared" si="17"/>
        <v>99.62</v>
      </c>
    </row>
    <row r="105" spans="1:13" ht="36.75" customHeight="1">
      <c r="A105" s="27" t="s">
        <v>45</v>
      </c>
      <c r="B105" s="28">
        <v>601</v>
      </c>
      <c r="C105" s="25" t="s">
        <v>52</v>
      </c>
      <c r="D105" s="25" t="s">
        <v>122</v>
      </c>
      <c r="E105" s="25" t="s">
        <v>47</v>
      </c>
      <c r="F105" s="24" t="s">
        <v>18</v>
      </c>
      <c r="G105" s="20">
        <f>G106</f>
        <v>50</v>
      </c>
      <c r="H105" s="20">
        <f t="shared" ref="H105:I107" si="22">H106</f>
        <v>50</v>
      </c>
      <c r="I105" s="20">
        <f t="shared" si="22"/>
        <v>50</v>
      </c>
      <c r="J105" s="20">
        <f>J106</f>
        <v>0</v>
      </c>
      <c r="K105" s="20">
        <f>G105+J105</f>
        <v>50</v>
      </c>
      <c r="L105" s="69">
        <f>L106</f>
        <v>49.81</v>
      </c>
      <c r="M105" s="21">
        <f t="shared" si="17"/>
        <v>99.62</v>
      </c>
    </row>
    <row r="106" spans="1:13" ht="39.75" customHeight="1">
      <c r="A106" s="22" t="s">
        <v>93</v>
      </c>
      <c r="B106" s="23">
        <v>601</v>
      </c>
      <c r="C106" s="24" t="s">
        <v>52</v>
      </c>
      <c r="D106" s="24" t="s">
        <v>122</v>
      </c>
      <c r="E106" s="24" t="s">
        <v>94</v>
      </c>
      <c r="F106" s="24" t="s">
        <v>95</v>
      </c>
      <c r="G106" s="20">
        <f>G107</f>
        <v>50</v>
      </c>
      <c r="H106" s="20">
        <f t="shared" si="22"/>
        <v>50</v>
      </c>
      <c r="I106" s="20">
        <f t="shared" si="22"/>
        <v>50</v>
      </c>
      <c r="J106" s="20">
        <f>J107</f>
        <v>0</v>
      </c>
      <c r="K106" s="20">
        <f>G106+J106</f>
        <v>50</v>
      </c>
      <c r="L106" s="69">
        <f>L107</f>
        <v>49.81</v>
      </c>
      <c r="M106" s="21">
        <f t="shared" si="17"/>
        <v>99.62</v>
      </c>
    </row>
    <row r="107" spans="1:13" ht="21" customHeight="1">
      <c r="A107" s="22" t="s">
        <v>123</v>
      </c>
      <c r="B107" s="23">
        <v>601</v>
      </c>
      <c r="C107" s="24" t="s">
        <v>52</v>
      </c>
      <c r="D107" s="24" t="s">
        <v>122</v>
      </c>
      <c r="E107" s="24" t="s">
        <v>124</v>
      </c>
      <c r="F107" s="24" t="s">
        <v>18</v>
      </c>
      <c r="G107" s="20">
        <f>G108</f>
        <v>50</v>
      </c>
      <c r="H107" s="20">
        <f t="shared" si="22"/>
        <v>50</v>
      </c>
      <c r="I107" s="20">
        <f t="shared" si="22"/>
        <v>50</v>
      </c>
      <c r="J107" s="20">
        <f>J108</f>
        <v>0</v>
      </c>
      <c r="K107" s="20">
        <f>G107+J107</f>
        <v>50</v>
      </c>
      <c r="L107" s="69">
        <f>L108</f>
        <v>49.81</v>
      </c>
      <c r="M107" s="21">
        <f t="shared" si="17"/>
        <v>99.62</v>
      </c>
    </row>
    <row r="108" spans="1:13" ht="19.5" customHeight="1">
      <c r="A108" s="22" t="s">
        <v>33</v>
      </c>
      <c r="B108" s="23">
        <v>601</v>
      </c>
      <c r="C108" s="24" t="s">
        <v>52</v>
      </c>
      <c r="D108" s="24" t="s">
        <v>122</v>
      </c>
      <c r="E108" s="24" t="s">
        <v>124</v>
      </c>
      <c r="F108" s="24" t="s">
        <v>34</v>
      </c>
      <c r="G108" s="20">
        <v>50</v>
      </c>
      <c r="H108" s="20">
        <v>50</v>
      </c>
      <c r="I108" s="20">
        <v>50</v>
      </c>
      <c r="J108" s="20"/>
      <c r="K108" s="20">
        <f>G108+J108</f>
        <v>50</v>
      </c>
      <c r="L108" s="69">
        <v>49.81</v>
      </c>
      <c r="M108" s="21">
        <f t="shared" si="17"/>
        <v>99.62</v>
      </c>
    </row>
    <row r="109" spans="1:13" s="57" customFormat="1" ht="18" customHeight="1">
      <c r="A109" s="27" t="s">
        <v>125</v>
      </c>
      <c r="B109" s="28">
        <v>601</v>
      </c>
      <c r="C109" s="25" t="s">
        <v>52</v>
      </c>
      <c r="D109" s="25">
        <v>12</v>
      </c>
      <c r="E109" s="25" t="s">
        <v>18</v>
      </c>
      <c r="F109" s="25" t="s">
        <v>18</v>
      </c>
      <c r="G109" s="26" t="e">
        <f>G116+#REF!</f>
        <v>#REF!</v>
      </c>
      <c r="H109" s="26" t="e">
        <f>H116+#REF!</f>
        <v>#REF!</v>
      </c>
      <c r="I109" s="26" t="e">
        <f>I116+#REF!</f>
        <v>#REF!</v>
      </c>
      <c r="J109" s="26" t="e">
        <f>J116+#REF!</f>
        <v>#REF!</v>
      </c>
      <c r="K109" s="26">
        <f>SUM(K110+K116)</f>
        <v>747.92000000000007</v>
      </c>
      <c r="L109" s="70">
        <f>L110+L116</f>
        <v>662.52</v>
      </c>
      <c r="M109" s="56">
        <f t="shared" si="17"/>
        <v>88.581666488394475</v>
      </c>
    </row>
    <row r="110" spans="1:13" s="57" customFormat="1" ht="57" customHeight="1">
      <c r="A110" s="48" t="s">
        <v>75</v>
      </c>
      <c r="B110" s="28">
        <v>601</v>
      </c>
      <c r="C110" s="25" t="s">
        <v>52</v>
      </c>
      <c r="D110" s="25" t="s">
        <v>126</v>
      </c>
      <c r="E110" s="25" t="s">
        <v>76</v>
      </c>
      <c r="F110" s="25" t="s">
        <v>18</v>
      </c>
      <c r="G110" s="26">
        <f>G111</f>
        <v>45</v>
      </c>
      <c r="H110" s="26">
        <f t="shared" ref="H110:I114" si="23">H111</f>
        <v>45</v>
      </c>
      <c r="I110" s="26">
        <f t="shared" si="23"/>
        <v>45</v>
      </c>
      <c r="J110" s="26">
        <f>J111</f>
        <v>0</v>
      </c>
      <c r="K110" s="26">
        <f t="shared" ref="K110:K115" si="24">G110+J110</f>
        <v>45</v>
      </c>
      <c r="L110" s="70">
        <f>SUM(L111)</f>
        <v>30</v>
      </c>
      <c r="M110" s="56">
        <f t="shared" ref="M110:M115" si="25">SUM(L110/K110*100)</f>
        <v>66.666666666666657</v>
      </c>
    </row>
    <row r="111" spans="1:13" s="57" customFormat="1" ht="39.75" customHeight="1">
      <c r="A111" s="27" t="s">
        <v>133</v>
      </c>
      <c r="B111" s="28">
        <v>601</v>
      </c>
      <c r="C111" s="25" t="s">
        <v>52</v>
      </c>
      <c r="D111" s="25" t="s">
        <v>126</v>
      </c>
      <c r="E111" s="25" t="s">
        <v>134</v>
      </c>
      <c r="F111" s="25" t="s">
        <v>18</v>
      </c>
      <c r="G111" s="26">
        <f>G112+G114</f>
        <v>45</v>
      </c>
      <c r="H111" s="26">
        <f>H112+H114</f>
        <v>45</v>
      </c>
      <c r="I111" s="26">
        <f>I112+I114</f>
        <v>45</v>
      </c>
      <c r="J111" s="26">
        <f>J112+J114</f>
        <v>0</v>
      </c>
      <c r="K111" s="26">
        <f t="shared" si="24"/>
        <v>45</v>
      </c>
      <c r="L111" s="70">
        <f>SUM(L112+L114)</f>
        <v>30</v>
      </c>
      <c r="M111" s="56">
        <f t="shared" si="25"/>
        <v>66.666666666666657</v>
      </c>
    </row>
    <row r="112" spans="1:13" s="57" customFormat="1" ht="25.5" customHeight="1">
      <c r="A112" s="27" t="s">
        <v>135</v>
      </c>
      <c r="B112" s="28">
        <v>601</v>
      </c>
      <c r="C112" s="25" t="s">
        <v>52</v>
      </c>
      <c r="D112" s="25" t="s">
        <v>126</v>
      </c>
      <c r="E112" s="25" t="s">
        <v>136</v>
      </c>
      <c r="F112" s="25" t="s">
        <v>18</v>
      </c>
      <c r="G112" s="26">
        <f>G113</f>
        <v>5</v>
      </c>
      <c r="H112" s="26">
        <f t="shared" si="23"/>
        <v>5</v>
      </c>
      <c r="I112" s="26">
        <f t="shared" si="23"/>
        <v>5</v>
      </c>
      <c r="J112" s="26">
        <f>J113</f>
        <v>0</v>
      </c>
      <c r="K112" s="26">
        <f t="shared" si="24"/>
        <v>5</v>
      </c>
      <c r="L112" s="70">
        <f>SUM(L113)</f>
        <v>5</v>
      </c>
      <c r="M112" s="56">
        <f t="shared" si="25"/>
        <v>100</v>
      </c>
    </row>
    <row r="113" spans="1:13" s="57" customFormat="1" ht="42.75" customHeight="1">
      <c r="A113" s="27" t="s">
        <v>31</v>
      </c>
      <c r="B113" s="28">
        <v>601</v>
      </c>
      <c r="C113" s="25" t="s">
        <v>52</v>
      </c>
      <c r="D113" s="25" t="s">
        <v>126</v>
      </c>
      <c r="E113" s="25" t="s">
        <v>136</v>
      </c>
      <c r="F113" s="25" t="s">
        <v>32</v>
      </c>
      <c r="G113" s="26">
        <v>5</v>
      </c>
      <c r="H113" s="26">
        <v>5</v>
      </c>
      <c r="I113" s="26">
        <v>5</v>
      </c>
      <c r="J113" s="26"/>
      <c r="K113" s="26">
        <f t="shared" si="24"/>
        <v>5</v>
      </c>
      <c r="L113" s="70">
        <v>5</v>
      </c>
      <c r="M113" s="56">
        <f t="shared" si="25"/>
        <v>100</v>
      </c>
    </row>
    <row r="114" spans="1:13" s="57" customFormat="1" ht="39.75" customHeight="1">
      <c r="A114" s="27" t="s">
        <v>137</v>
      </c>
      <c r="B114" s="28">
        <v>601</v>
      </c>
      <c r="C114" s="25" t="s">
        <v>52</v>
      </c>
      <c r="D114" s="25" t="s">
        <v>126</v>
      </c>
      <c r="E114" s="25" t="s">
        <v>138</v>
      </c>
      <c r="F114" s="25" t="s">
        <v>18</v>
      </c>
      <c r="G114" s="26">
        <f>G115</f>
        <v>40</v>
      </c>
      <c r="H114" s="26">
        <f t="shared" si="23"/>
        <v>40</v>
      </c>
      <c r="I114" s="26">
        <f t="shared" si="23"/>
        <v>40</v>
      </c>
      <c r="J114" s="26">
        <f>J115</f>
        <v>0</v>
      </c>
      <c r="K114" s="26">
        <f t="shared" si="24"/>
        <v>40</v>
      </c>
      <c r="L114" s="70">
        <f>SUM(L115)</f>
        <v>25</v>
      </c>
      <c r="M114" s="56">
        <f t="shared" si="25"/>
        <v>62.5</v>
      </c>
    </row>
    <row r="115" spans="1:13" s="57" customFormat="1" ht="18" customHeight="1">
      <c r="A115" s="27" t="s">
        <v>33</v>
      </c>
      <c r="B115" s="28">
        <v>601</v>
      </c>
      <c r="C115" s="25" t="s">
        <v>52</v>
      </c>
      <c r="D115" s="25" t="s">
        <v>126</v>
      </c>
      <c r="E115" s="25" t="s">
        <v>138</v>
      </c>
      <c r="F115" s="25" t="s">
        <v>34</v>
      </c>
      <c r="G115" s="26">
        <v>40</v>
      </c>
      <c r="H115" s="26">
        <v>40</v>
      </c>
      <c r="I115" s="26">
        <v>40</v>
      </c>
      <c r="J115" s="26"/>
      <c r="K115" s="26">
        <f t="shared" si="24"/>
        <v>40</v>
      </c>
      <c r="L115" s="70">
        <v>25</v>
      </c>
      <c r="M115" s="56">
        <f t="shared" si="25"/>
        <v>62.5</v>
      </c>
    </row>
    <row r="116" spans="1:13" s="57" customFormat="1" ht="39.75" customHeight="1">
      <c r="A116" s="27" t="s">
        <v>45</v>
      </c>
      <c r="B116" s="28">
        <v>601</v>
      </c>
      <c r="C116" s="25" t="s">
        <v>52</v>
      </c>
      <c r="D116" s="25" t="s">
        <v>126</v>
      </c>
      <c r="E116" s="25" t="s">
        <v>47</v>
      </c>
      <c r="F116" s="25" t="s">
        <v>18</v>
      </c>
      <c r="G116" s="26">
        <f>G117+G120</f>
        <v>200</v>
      </c>
      <c r="H116" s="26">
        <f>H117+H120</f>
        <v>200</v>
      </c>
      <c r="I116" s="26">
        <f>I117+I120</f>
        <v>200</v>
      </c>
      <c r="J116" s="26">
        <f>J117+J120</f>
        <v>502.92</v>
      </c>
      <c r="K116" s="26">
        <f t="shared" ref="K116:K127" si="26">G116+J116</f>
        <v>702.92000000000007</v>
      </c>
      <c r="L116" s="70">
        <f>L117+L120</f>
        <v>632.52</v>
      </c>
      <c r="M116" s="56">
        <f t="shared" si="17"/>
        <v>89.984635520400602</v>
      </c>
    </row>
    <row r="117" spans="1:13" s="57" customFormat="1" ht="39.75" customHeight="1">
      <c r="A117" s="27" t="s">
        <v>93</v>
      </c>
      <c r="B117" s="28">
        <v>601</v>
      </c>
      <c r="C117" s="25" t="s">
        <v>52</v>
      </c>
      <c r="D117" s="25" t="s">
        <v>126</v>
      </c>
      <c r="E117" s="25" t="s">
        <v>94</v>
      </c>
      <c r="F117" s="25" t="s">
        <v>95</v>
      </c>
      <c r="G117" s="26">
        <f>G118</f>
        <v>0</v>
      </c>
      <c r="H117" s="26">
        <f t="shared" ref="H117:J118" si="27">H118</f>
        <v>0</v>
      </c>
      <c r="I117" s="26">
        <f t="shared" si="27"/>
        <v>0</v>
      </c>
      <c r="J117" s="26">
        <f t="shared" si="27"/>
        <v>199.62</v>
      </c>
      <c r="K117" s="26">
        <f t="shared" si="26"/>
        <v>199.62</v>
      </c>
      <c r="L117" s="70">
        <f>SUM(L118)</f>
        <v>199.62</v>
      </c>
      <c r="M117" s="56">
        <f t="shared" si="17"/>
        <v>100</v>
      </c>
    </row>
    <row r="118" spans="1:13" s="57" customFormat="1" ht="39.75" customHeight="1">
      <c r="A118" s="27" t="s">
        <v>127</v>
      </c>
      <c r="B118" s="28">
        <v>601</v>
      </c>
      <c r="C118" s="25" t="s">
        <v>52</v>
      </c>
      <c r="D118" s="25" t="s">
        <v>126</v>
      </c>
      <c r="E118" s="25" t="s">
        <v>128</v>
      </c>
      <c r="F118" s="25" t="s">
        <v>95</v>
      </c>
      <c r="G118" s="26">
        <f>G119</f>
        <v>0</v>
      </c>
      <c r="H118" s="26">
        <f t="shared" si="27"/>
        <v>0</v>
      </c>
      <c r="I118" s="26">
        <f t="shared" si="27"/>
        <v>0</v>
      </c>
      <c r="J118" s="26">
        <f t="shared" si="27"/>
        <v>199.62</v>
      </c>
      <c r="K118" s="26">
        <f t="shared" si="26"/>
        <v>199.62</v>
      </c>
      <c r="L118" s="70">
        <f>SUM(L119)</f>
        <v>199.62</v>
      </c>
      <c r="M118" s="56">
        <f t="shared" si="17"/>
        <v>100</v>
      </c>
    </row>
    <row r="119" spans="1:13" s="57" customFormat="1" ht="37.5" customHeight="1">
      <c r="A119" s="27" t="s">
        <v>102</v>
      </c>
      <c r="B119" s="28">
        <v>601</v>
      </c>
      <c r="C119" s="25" t="s">
        <v>52</v>
      </c>
      <c r="D119" s="25" t="s">
        <v>126</v>
      </c>
      <c r="E119" s="25" t="s">
        <v>128</v>
      </c>
      <c r="F119" s="25" t="s">
        <v>32</v>
      </c>
      <c r="G119" s="26"/>
      <c r="H119" s="26"/>
      <c r="I119" s="26"/>
      <c r="J119" s="26">
        <v>199.62</v>
      </c>
      <c r="K119" s="26">
        <f t="shared" si="26"/>
        <v>199.62</v>
      </c>
      <c r="L119" s="70">
        <v>199.62</v>
      </c>
      <c r="M119" s="56">
        <f t="shared" si="17"/>
        <v>100</v>
      </c>
    </row>
    <row r="120" spans="1:13" s="57" customFormat="1" ht="36" customHeight="1">
      <c r="A120" s="27" t="s">
        <v>129</v>
      </c>
      <c r="B120" s="28">
        <v>601</v>
      </c>
      <c r="C120" s="25" t="s">
        <v>52</v>
      </c>
      <c r="D120" s="25" t="s">
        <v>126</v>
      </c>
      <c r="E120" s="25" t="s">
        <v>130</v>
      </c>
      <c r="F120" s="25" t="s">
        <v>18</v>
      </c>
      <c r="G120" s="26">
        <f>G121</f>
        <v>200</v>
      </c>
      <c r="H120" s="26">
        <f>H121</f>
        <v>200</v>
      </c>
      <c r="I120" s="26">
        <f>I121</f>
        <v>200</v>
      </c>
      <c r="J120" s="26">
        <f>J121</f>
        <v>303.3</v>
      </c>
      <c r="K120" s="26">
        <f t="shared" si="26"/>
        <v>503.3</v>
      </c>
      <c r="L120" s="70">
        <f>SUM(L121)</f>
        <v>432.90000000000003</v>
      </c>
      <c r="M120" s="56">
        <f t="shared" si="17"/>
        <v>86.012318696602435</v>
      </c>
    </row>
    <row r="121" spans="1:13" s="57" customFormat="1" ht="56.25" customHeight="1">
      <c r="A121" s="27" t="s">
        <v>131</v>
      </c>
      <c r="B121" s="28">
        <v>601</v>
      </c>
      <c r="C121" s="25" t="s">
        <v>52</v>
      </c>
      <c r="D121" s="25" t="s">
        <v>126</v>
      </c>
      <c r="E121" s="25" t="s">
        <v>132</v>
      </c>
      <c r="F121" s="25" t="s">
        <v>18</v>
      </c>
      <c r="G121" s="26">
        <f>G122+G123</f>
        <v>200</v>
      </c>
      <c r="H121" s="26">
        <f>H122+H123</f>
        <v>200</v>
      </c>
      <c r="I121" s="26">
        <f>I122+I123</f>
        <v>200</v>
      </c>
      <c r="J121" s="26">
        <f>J122+J123</f>
        <v>303.3</v>
      </c>
      <c r="K121" s="26">
        <f t="shared" si="26"/>
        <v>503.3</v>
      </c>
      <c r="L121" s="70">
        <f>SUM(L122:L123)</f>
        <v>432.90000000000003</v>
      </c>
      <c r="M121" s="56">
        <f t="shared" si="17"/>
        <v>86.012318696602435</v>
      </c>
    </row>
    <row r="122" spans="1:13" s="57" customFormat="1" ht="36.75" customHeight="1">
      <c r="A122" s="27" t="s">
        <v>102</v>
      </c>
      <c r="B122" s="28">
        <v>601</v>
      </c>
      <c r="C122" s="25" t="s">
        <v>52</v>
      </c>
      <c r="D122" s="25" t="s">
        <v>126</v>
      </c>
      <c r="E122" s="25" t="s">
        <v>132</v>
      </c>
      <c r="F122" s="25" t="s">
        <v>32</v>
      </c>
      <c r="G122" s="26"/>
      <c r="H122" s="26"/>
      <c r="I122" s="26"/>
      <c r="J122" s="26">
        <f>33.3</f>
        <v>33.299999999999997</v>
      </c>
      <c r="K122" s="26">
        <f t="shared" si="26"/>
        <v>33.299999999999997</v>
      </c>
      <c r="L122" s="70">
        <v>33.299999999999997</v>
      </c>
      <c r="M122" s="56">
        <f t="shared" si="17"/>
        <v>100</v>
      </c>
    </row>
    <row r="123" spans="1:13" s="57" customFormat="1" ht="38.25" customHeight="1">
      <c r="A123" s="27" t="s">
        <v>105</v>
      </c>
      <c r="B123" s="28">
        <v>601</v>
      </c>
      <c r="C123" s="25" t="s">
        <v>52</v>
      </c>
      <c r="D123" s="25" t="s">
        <v>126</v>
      </c>
      <c r="E123" s="25" t="s">
        <v>132</v>
      </c>
      <c r="F123" s="25" t="s">
        <v>106</v>
      </c>
      <c r="G123" s="26">
        <v>200</v>
      </c>
      <c r="H123" s="26">
        <v>200</v>
      </c>
      <c r="I123" s="26">
        <v>200</v>
      </c>
      <c r="J123" s="26">
        <f>270</f>
        <v>270</v>
      </c>
      <c r="K123" s="26">
        <f t="shared" si="26"/>
        <v>470</v>
      </c>
      <c r="L123" s="70">
        <v>399.6</v>
      </c>
      <c r="M123" s="56">
        <f t="shared" si="17"/>
        <v>85.021276595744695</v>
      </c>
    </row>
    <row r="124" spans="1:13" ht="57.75" hidden="1" customHeight="1">
      <c r="A124" s="30" t="s">
        <v>139</v>
      </c>
      <c r="B124" s="23">
        <v>601</v>
      </c>
      <c r="C124" s="31">
        <v>10</v>
      </c>
      <c r="D124" s="32" t="s">
        <v>22</v>
      </c>
      <c r="E124" s="24" t="s">
        <v>140</v>
      </c>
      <c r="F124" s="24" t="s">
        <v>18</v>
      </c>
      <c r="G124" s="20">
        <f>G125</f>
        <v>0</v>
      </c>
      <c r="H124" s="20">
        <f>H125</f>
        <v>0</v>
      </c>
      <c r="I124" s="20">
        <f>I125</f>
        <v>0</v>
      </c>
      <c r="J124" s="20">
        <f>J125</f>
        <v>0</v>
      </c>
      <c r="K124" s="20">
        <f t="shared" si="26"/>
        <v>0</v>
      </c>
      <c r="M124" s="21" t="e">
        <f t="shared" si="17"/>
        <v>#DIV/0!</v>
      </c>
    </row>
    <row r="125" spans="1:13" hidden="1">
      <c r="A125" s="1" t="s">
        <v>141</v>
      </c>
      <c r="B125" s="23">
        <v>601</v>
      </c>
      <c r="C125" s="31">
        <v>10</v>
      </c>
      <c r="D125" s="32" t="s">
        <v>22</v>
      </c>
      <c r="E125" s="24" t="s">
        <v>140</v>
      </c>
      <c r="F125" s="24" t="s">
        <v>142</v>
      </c>
      <c r="G125" s="20">
        <v>0</v>
      </c>
      <c r="H125" s="20">
        <v>0</v>
      </c>
      <c r="I125" s="20">
        <v>0</v>
      </c>
      <c r="J125" s="20">
        <v>0</v>
      </c>
      <c r="K125" s="20">
        <f t="shared" si="26"/>
        <v>0</v>
      </c>
      <c r="M125" s="21" t="e">
        <f t="shared" si="17"/>
        <v>#DIV/0!</v>
      </c>
    </row>
    <row r="126" spans="1:13" ht="37.5" hidden="1">
      <c r="A126" s="33" t="s">
        <v>143</v>
      </c>
      <c r="B126" s="23">
        <v>601</v>
      </c>
      <c r="C126" s="31">
        <v>10</v>
      </c>
      <c r="D126" s="32" t="s">
        <v>22</v>
      </c>
      <c r="E126" s="24" t="s">
        <v>144</v>
      </c>
      <c r="F126" s="24" t="s">
        <v>18</v>
      </c>
      <c r="G126" s="20">
        <f>G127</f>
        <v>0</v>
      </c>
      <c r="H126" s="20">
        <f>H127</f>
        <v>0</v>
      </c>
      <c r="I126" s="20">
        <f>I127</f>
        <v>0</v>
      </c>
      <c r="J126" s="20">
        <f>J127</f>
        <v>0</v>
      </c>
      <c r="K126" s="20">
        <f t="shared" si="26"/>
        <v>0</v>
      </c>
      <c r="M126" s="21" t="e">
        <f t="shared" si="17"/>
        <v>#DIV/0!</v>
      </c>
    </row>
    <row r="127" spans="1:13" hidden="1">
      <c r="A127" s="1" t="s">
        <v>141</v>
      </c>
      <c r="B127" s="23">
        <v>601</v>
      </c>
      <c r="C127" s="31">
        <v>10</v>
      </c>
      <c r="D127" s="32" t="s">
        <v>22</v>
      </c>
      <c r="E127" s="24" t="s">
        <v>144</v>
      </c>
      <c r="F127" s="24" t="s">
        <v>142</v>
      </c>
      <c r="G127" s="20">
        <v>0</v>
      </c>
      <c r="H127" s="20">
        <v>0</v>
      </c>
      <c r="I127" s="20">
        <v>0</v>
      </c>
      <c r="J127" s="20">
        <v>0</v>
      </c>
      <c r="K127" s="20">
        <f t="shared" si="26"/>
        <v>0</v>
      </c>
      <c r="M127" s="21" t="e">
        <f t="shared" si="17"/>
        <v>#DIV/0!</v>
      </c>
    </row>
    <row r="128" spans="1:13" ht="16.5" customHeight="1">
      <c r="G128" s="34"/>
      <c r="H128" s="34"/>
      <c r="I128" s="34"/>
      <c r="J128" s="34"/>
      <c r="K128" s="20"/>
      <c r="M128" s="21"/>
    </row>
    <row r="129" spans="1:13" ht="39.75" customHeight="1">
      <c r="A129" s="1" t="s">
        <v>145</v>
      </c>
      <c r="B129" s="23">
        <v>602</v>
      </c>
      <c r="C129" s="24" t="s">
        <v>18</v>
      </c>
      <c r="D129" s="24" t="s">
        <v>18</v>
      </c>
      <c r="E129" s="24" t="s">
        <v>18</v>
      </c>
      <c r="F129" s="24" t="s">
        <v>18</v>
      </c>
      <c r="G129" s="35">
        <f t="shared" ref="G129:L129" si="28">G130+G146+G155</f>
        <v>6264.07</v>
      </c>
      <c r="H129" s="35">
        <f t="shared" si="28"/>
        <v>10915.82</v>
      </c>
      <c r="I129" s="35">
        <f t="shared" si="28"/>
        <v>14464.07</v>
      </c>
      <c r="J129" s="35">
        <f t="shared" si="28"/>
        <v>571.6</v>
      </c>
      <c r="K129" s="26">
        <f t="shared" si="28"/>
        <v>7873.37</v>
      </c>
      <c r="L129" s="70">
        <f t="shared" si="28"/>
        <v>7645.5500000000011</v>
      </c>
      <c r="M129" s="21">
        <f t="shared" si="17"/>
        <v>97.106448699857893</v>
      </c>
    </row>
    <row r="130" spans="1:13" ht="18.600000000000001" customHeight="1">
      <c r="A130" s="22" t="s">
        <v>19</v>
      </c>
      <c r="B130" s="23">
        <v>602</v>
      </c>
      <c r="C130" s="24" t="s">
        <v>20</v>
      </c>
      <c r="D130" s="24" t="s">
        <v>18</v>
      </c>
      <c r="E130" s="24" t="s">
        <v>18</v>
      </c>
      <c r="F130" s="24" t="s">
        <v>18</v>
      </c>
      <c r="G130" s="34">
        <f t="shared" ref="G130:J131" si="29">G131</f>
        <v>6134.07</v>
      </c>
      <c r="H130" s="34">
        <f t="shared" si="29"/>
        <v>6134.07</v>
      </c>
      <c r="I130" s="34">
        <f t="shared" si="29"/>
        <v>6134.07</v>
      </c>
      <c r="J130" s="34">
        <f t="shared" si="29"/>
        <v>500</v>
      </c>
      <c r="K130" s="26">
        <f>K131</f>
        <v>7701.7699999999995</v>
      </c>
      <c r="L130" s="70">
        <f>L131</f>
        <v>7473.9500000000007</v>
      </c>
      <c r="M130" s="21">
        <f t="shared" si="17"/>
        <v>97.041978662047839</v>
      </c>
    </row>
    <row r="131" spans="1:13" ht="21.6" customHeight="1">
      <c r="A131" s="22" t="s">
        <v>73</v>
      </c>
      <c r="B131" s="23">
        <v>602</v>
      </c>
      <c r="C131" s="24" t="s">
        <v>20</v>
      </c>
      <c r="D131" s="24" t="s">
        <v>74</v>
      </c>
      <c r="E131" s="24" t="s">
        <v>18</v>
      </c>
      <c r="F131" s="24" t="s">
        <v>18</v>
      </c>
      <c r="G131" s="20">
        <f t="shared" si="29"/>
        <v>6134.07</v>
      </c>
      <c r="H131" s="20">
        <f t="shared" si="29"/>
        <v>6134.07</v>
      </c>
      <c r="I131" s="20">
        <f t="shared" si="29"/>
        <v>6134.07</v>
      </c>
      <c r="J131" s="20">
        <f t="shared" si="29"/>
        <v>500</v>
      </c>
      <c r="K131" s="26">
        <f>K132</f>
        <v>7701.7699999999995</v>
      </c>
      <c r="L131" s="70">
        <f>L132</f>
        <v>7473.9500000000007</v>
      </c>
      <c r="M131" s="21">
        <f t="shared" si="17"/>
        <v>97.041978662047839</v>
      </c>
    </row>
    <row r="132" spans="1:13" ht="56.25" customHeight="1">
      <c r="A132" s="22" t="s">
        <v>146</v>
      </c>
      <c r="B132" s="23">
        <v>602</v>
      </c>
      <c r="C132" s="24" t="s">
        <v>20</v>
      </c>
      <c r="D132" s="24" t="s">
        <v>74</v>
      </c>
      <c r="E132" s="24" t="s">
        <v>147</v>
      </c>
      <c r="F132" s="24" t="s">
        <v>18</v>
      </c>
      <c r="G132" s="20">
        <f t="shared" ref="G132:L132" si="30">G133+G138</f>
        <v>6134.07</v>
      </c>
      <c r="H132" s="20">
        <f t="shared" si="30"/>
        <v>6134.07</v>
      </c>
      <c r="I132" s="20">
        <f t="shared" si="30"/>
        <v>6134.07</v>
      </c>
      <c r="J132" s="20">
        <f t="shared" si="30"/>
        <v>500</v>
      </c>
      <c r="K132" s="26">
        <f t="shared" si="30"/>
        <v>7701.7699999999995</v>
      </c>
      <c r="L132" s="70">
        <f t="shared" si="30"/>
        <v>7473.9500000000007</v>
      </c>
      <c r="M132" s="21">
        <f t="shared" si="17"/>
        <v>97.041978662047839</v>
      </c>
    </row>
    <row r="133" spans="1:13" ht="56.25" customHeight="1">
      <c r="A133" s="22" t="s">
        <v>148</v>
      </c>
      <c r="B133" s="23">
        <v>602</v>
      </c>
      <c r="C133" s="24" t="s">
        <v>20</v>
      </c>
      <c r="D133" s="24" t="s">
        <v>74</v>
      </c>
      <c r="E133" s="24" t="s">
        <v>149</v>
      </c>
      <c r="F133" s="24" t="s">
        <v>18</v>
      </c>
      <c r="G133" s="20">
        <f t="shared" ref="G133:L133" si="31">G134</f>
        <v>5264.07</v>
      </c>
      <c r="H133" s="20">
        <f t="shared" si="31"/>
        <v>5264.07</v>
      </c>
      <c r="I133" s="20">
        <f t="shared" si="31"/>
        <v>5264.07</v>
      </c>
      <c r="J133" s="20">
        <f t="shared" si="31"/>
        <v>0</v>
      </c>
      <c r="K133" s="20">
        <f t="shared" si="31"/>
        <v>6178.44</v>
      </c>
      <c r="L133" s="69">
        <f t="shared" si="31"/>
        <v>6013.02</v>
      </c>
      <c r="M133" s="21">
        <f t="shared" si="17"/>
        <v>97.322625128673266</v>
      </c>
    </row>
    <row r="134" spans="1:13" ht="19.5" customHeight="1">
      <c r="A134" s="22" t="s">
        <v>27</v>
      </c>
      <c r="B134" s="23">
        <v>602</v>
      </c>
      <c r="C134" s="24" t="s">
        <v>20</v>
      </c>
      <c r="D134" s="24" t="s">
        <v>74</v>
      </c>
      <c r="E134" s="24" t="s">
        <v>150</v>
      </c>
      <c r="F134" s="24" t="s">
        <v>18</v>
      </c>
      <c r="G134" s="20">
        <f>SUM(G135:G137)</f>
        <v>5264.07</v>
      </c>
      <c r="H134" s="20">
        <f>SUM(H135:H137)</f>
        <v>5264.07</v>
      </c>
      <c r="I134" s="20">
        <f>SUM(I135:I137)</f>
        <v>5264.07</v>
      </c>
      <c r="J134" s="20">
        <f>SUM(J135:J137)</f>
        <v>0</v>
      </c>
      <c r="K134" s="20">
        <f>K135+K136+K137</f>
        <v>6178.44</v>
      </c>
      <c r="L134" s="69">
        <f>L135+L136+L137</f>
        <v>6013.02</v>
      </c>
      <c r="M134" s="21">
        <f t="shared" si="17"/>
        <v>97.322625128673266</v>
      </c>
    </row>
    <row r="135" spans="1:13" ht="78" customHeight="1">
      <c r="A135" s="22" t="s">
        <v>29</v>
      </c>
      <c r="B135" s="23">
        <v>602</v>
      </c>
      <c r="C135" s="24" t="s">
        <v>20</v>
      </c>
      <c r="D135" s="24" t="s">
        <v>74</v>
      </c>
      <c r="E135" s="24" t="s">
        <v>150</v>
      </c>
      <c r="F135" s="24" t="s">
        <v>30</v>
      </c>
      <c r="G135" s="20">
        <v>4641.07</v>
      </c>
      <c r="H135" s="20">
        <v>4641.07</v>
      </c>
      <c r="I135" s="20">
        <v>4641.07</v>
      </c>
      <c r="J135" s="20"/>
      <c r="K135" s="20">
        <v>5055.4399999999996</v>
      </c>
      <c r="L135" s="69">
        <v>4937.6400000000003</v>
      </c>
      <c r="M135" s="21">
        <f t="shared" si="17"/>
        <v>97.669836849018097</v>
      </c>
    </row>
    <row r="136" spans="1:13" ht="37.5" customHeight="1">
      <c r="A136" s="22" t="s">
        <v>31</v>
      </c>
      <c r="B136" s="23">
        <v>602</v>
      </c>
      <c r="C136" s="24" t="s">
        <v>20</v>
      </c>
      <c r="D136" s="24" t="s">
        <v>74</v>
      </c>
      <c r="E136" s="24" t="s">
        <v>150</v>
      </c>
      <c r="F136" s="24" t="s">
        <v>32</v>
      </c>
      <c r="G136" s="20">
        <v>619.5</v>
      </c>
      <c r="H136" s="20">
        <v>619.5</v>
      </c>
      <c r="I136" s="20">
        <v>619.5</v>
      </c>
      <c r="J136" s="20"/>
      <c r="K136" s="20">
        <v>1117.5</v>
      </c>
      <c r="L136" s="69">
        <v>1071.95</v>
      </c>
      <c r="M136" s="21">
        <f t="shared" si="17"/>
        <v>95.923937360178982</v>
      </c>
    </row>
    <row r="137" spans="1:13">
      <c r="A137" s="22" t="s">
        <v>33</v>
      </c>
      <c r="B137" s="23">
        <v>602</v>
      </c>
      <c r="C137" s="24" t="s">
        <v>20</v>
      </c>
      <c r="D137" s="24" t="s">
        <v>74</v>
      </c>
      <c r="E137" s="24" t="s">
        <v>150</v>
      </c>
      <c r="F137" s="24" t="s">
        <v>34</v>
      </c>
      <c r="G137" s="20">
        <v>3.5</v>
      </c>
      <c r="H137" s="20">
        <v>3.5</v>
      </c>
      <c r="I137" s="20">
        <v>3.5</v>
      </c>
      <c r="J137" s="20"/>
      <c r="K137" s="20">
        <v>5.5</v>
      </c>
      <c r="L137" s="69">
        <v>3.43</v>
      </c>
      <c r="M137" s="21">
        <f t="shared" si="17"/>
        <v>62.363636363636367</v>
      </c>
    </row>
    <row r="138" spans="1:13" ht="37.5">
      <c r="A138" s="22" t="s">
        <v>151</v>
      </c>
      <c r="B138" s="23">
        <v>602</v>
      </c>
      <c r="C138" s="24" t="s">
        <v>20</v>
      </c>
      <c r="D138" s="24" t="s">
        <v>74</v>
      </c>
      <c r="E138" s="25" t="s">
        <v>152</v>
      </c>
      <c r="F138" s="24" t="s">
        <v>18</v>
      </c>
      <c r="G138" s="20">
        <f t="shared" ref="G138:L138" si="32">G139+G141+G143</f>
        <v>870</v>
      </c>
      <c r="H138" s="20">
        <f t="shared" si="32"/>
        <v>870</v>
      </c>
      <c r="I138" s="20">
        <f t="shared" si="32"/>
        <v>870</v>
      </c>
      <c r="J138" s="20">
        <f t="shared" si="32"/>
        <v>500</v>
      </c>
      <c r="K138" s="20">
        <f t="shared" si="32"/>
        <v>1523.33</v>
      </c>
      <c r="L138" s="69">
        <f t="shared" si="32"/>
        <v>1460.93</v>
      </c>
      <c r="M138" s="21">
        <f t="shared" si="17"/>
        <v>95.903710949039294</v>
      </c>
    </row>
    <row r="139" spans="1:13" ht="60" customHeight="1">
      <c r="A139" s="22" t="s">
        <v>153</v>
      </c>
      <c r="B139" s="23">
        <v>602</v>
      </c>
      <c r="C139" s="24" t="s">
        <v>20</v>
      </c>
      <c r="D139" s="24" t="s">
        <v>74</v>
      </c>
      <c r="E139" s="25" t="s">
        <v>154</v>
      </c>
      <c r="F139" s="24" t="s">
        <v>18</v>
      </c>
      <c r="G139" s="20">
        <f t="shared" ref="G139:L139" si="33">G140</f>
        <v>172</v>
      </c>
      <c r="H139" s="20">
        <f t="shared" si="33"/>
        <v>172</v>
      </c>
      <c r="I139" s="20">
        <f t="shared" si="33"/>
        <v>172</v>
      </c>
      <c r="J139" s="20">
        <f t="shared" si="33"/>
        <v>0</v>
      </c>
      <c r="K139" s="20">
        <f t="shared" si="33"/>
        <v>301.3</v>
      </c>
      <c r="L139" s="69">
        <f t="shared" si="33"/>
        <v>301.3</v>
      </c>
      <c r="M139" s="21">
        <f t="shared" si="17"/>
        <v>100</v>
      </c>
    </row>
    <row r="140" spans="1:13" ht="37.5" customHeight="1">
      <c r="A140" s="22" t="s">
        <v>31</v>
      </c>
      <c r="B140" s="23">
        <v>602</v>
      </c>
      <c r="C140" s="24" t="s">
        <v>20</v>
      </c>
      <c r="D140" s="24" t="s">
        <v>74</v>
      </c>
      <c r="E140" s="25" t="s">
        <v>154</v>
      </c>
      <c r="F140" s="24" t="s">
        <v>32</v>
      </c>
      <c r="G140" s="20">
        <v>172</v>
      </c>
      <c r="H140" s="20">
        <v>172</v>
      </c>
      <c r="I140" s="20">
        <v>172</v>
      </c>
      <c r="J140" s="20"/>
      <c r="K140" s="20">
        <v>301.3</v>
      </c>
      <c r="L140" s="69">
        <v>301.3</v>
      </c>
      <c r="M140" s="21">
        <f t="shared" si="17"/>
        <v>100</v>
      </c>
    </row>
    <row r="141" spans="1:13" ht="57.75" customHeight="1">
      <c r="A141" s="22" t="s">
        <v>155</v>
      </c>
      <c r="B141" s="23">
        <v>602</v>
      </c>
      <c r="C141" s="24" t="s">
        <v>20</v>
      </c>
      <c r="D141" s="24" t="s">
        <v>74</v>
      </c>
      <c r="E141" s="25" t="s">
        <v>156</v>
      </c>
      <c r="F141" s="24" t="s">
        <v>18</v>
      </c>
      <c r="G141" s="20">
        <f t="shared" ref="G141:L141" si="34">G142</f>
        <v>400</v>
      </c>
      <c r="H141" s="20">
        <f t="shared" si="34"/>
        <v>400</v>
      </c>
      <c r="I141" s="20">
        <f t="shared" si="34"/>
        <v>400</v>
      </c>
      <c r="J141" s="20">
        <f t="shared" si="34"/>
        <v>0</v>
      </c>
      <c r="K141" s="20">
        <f t="shared" si="34"/>
        <v>375.2</v>
      </c>
      <c r="L141" s="69">
        <f t="shared" si="34"/>
        <v>375.2</v>
      </c>
      <c r="M141" s="21">
        <f t="shared" si="17"/>
        <v>100</v>
      </c>
    </row>
    <row r="142" spans="1:13" ht="43.5" customHeight="1">
      <c r="A142" s="22" t="s">
        <v>157</v>
      </c>
      <c r="B142" s="23">
        <v>602</v>
      </c>
      <c r="C142" s="24" t="s">
        <v>20</v>
      </c>
      <c r="D142" s="24" t="s">
        <v>74</v>
      </c>
      <c r="E142" s="25" t="s">
        <v>156</v>
      </c>
      <c r="F142" s="24" t="s">
        <v>32</v>
      </c>
      <c r="G142" s="20">
        <v>400</v>
      </c>
      <c r="H142" s="20">
        <v>400</v>
      </c>
      <c r="I142" s="20">
        <v>400</v>
      </c>
      <c r="J142" s="20"/>
      <c r="K142" s="20">
        <v>375.2</v>
      </c>
      <c r="L142" s="69">
        <v>375.2</v>
      </c>
      <c r="M142" s="21">
        <f t="shared" si="17"/>
        <v>100</v>
      </c>
    </row>
    <row r="143" spans="1:13" ht="40.5" customHeight="1">
      <c r="A143" s="22" t="s">
        <v>158</v>
      </c>
      <c r="B143" s="23">
        <v>602</v>
      </c>
      <c r="C143" s="24" t="s">
        <v>20</v>
      </c>
      <c r="D143" s="24" t="s">
        <v>74</v>
      </c>
      <c r="E143" s="25" t="s">
        <v>159</v>
      </c>
      <c r="F143" s="24" t="s">
        <v>18</v>
      </c>
      <c r="G143" s="20">
        <f t="shared" ref="G143:L143" si="35">G144+G145</f>
        <v>298</v>
      </c>
      <c r="H143" s="20">
        <f t="shared" si="35"/>
        <v>298</v>
      </c>
      <c r="I143" s="20">
        <f t="shared" si="35"/>
        <v>298</v>
      </c>
      <c r="J143" s="20">
        <f t="shared" si="35"/>
        <v>500</v>
      </c>
      <c r="K143" s="20">
        <f t="shared" si="35"/>
        <v>846.82999999999993</v>
      </c>
      <c r="L143" s="69">
        <f t="shared" si="35"/>
        <v>784.43000000000006</v>
      </c>
      <c r="M143" s="21">
        <f t="shared" si="17"/>
        <v>92.631342772457288</v>
      </c>
    </row>
    <row r="144" spans="1:13" ht="36.75" customHeight="1">
      <c r="A144" s="22" t="s">
        <v>31</v>
      </c>
      <c r="B144" s="23">
        <v>602</v>
      </c>
      <c r="C144" s="24" t="s">
        <v>20</v>
      </c>
      <c r="D144" s="24" t="s">
        <v>74</v>
      </c>
      <c r="E144" s="24" t="s">
        <v>159</v>
      </c>
      <c r="F144" s="24" t="s">
        <v>32</v>
      </c>
      <c r="G144" s="20">
        <v>298</v>
      </c>
      <c r="H144" s="20">
        <v>298</v>
      </c>
      <c r="I144" s="20">
        <v>298</v>
      </c>
      <c r="J144" s="20">
        <f>351.92+96.52</f>
        <v>448.44</v>
      </c>
      <c r="K144" s="20">
        <v>735.27</v>
      </c>
      <c r="L144" s="69">
        <v>676.87</v>
      </c>
      <c r="M144" s="21">
        <f t="shared" si="17"/>
        <v>92.057339480734967</v>
      </c>
    </row>
    <row r="145" spans="1:13" ht="20.25" customHeight="1">
      <c r="A145" s="22" t="s">
        <v>33</v>
      </c>
      <c r="B145" s="23">
        <v>602</v>
      </c>
      <c r="C145" s="24" t="s">
        <v>20</v>
      </c>
      <c r="D145" s="24" t="s">
        <v>74</v>
      </c>
      <c r="E145" s="24" t="s">
        <v>159</v>
      </c>
      <c r="F145" s="24" t="s">
        <v>34</v>
      </c>
      <c r="G145" s="20"/>
      <c r="H145" s="20"/>
      <c r="I145" s="20"/>
      <c r="J145" s="20">
        <f>148.08-96.52</f>
        <v>51.560000000000016</v>
      </c>
      <c r="K145" s="20">
        <v>111.56</v>
      </c>
      <c r="L145" s="69">
        <v>107.56</v>
      </c>
      <c r="M145" s="21">
        <f t="shared" si="17"/>
        <v>96.414485478666194</v>
      </c>
    </row>
    <row r="146" spans="1:13" ht="20.25" customHeight="1">
      <c r="A146" s="22" t="s">
        <v>120</v>
      </c>
      <c r="B146" s="23">
        <v>602</v>
      </c>
      <c r="C146" s="24" t="s">
        <v>52</v>
      </c>
      <c r="D146" s="24" t="s">
        <v>18</v>
      </c>
      <c r="E146" s="24" t="s">
        <v>18</v>
      </c>
      <c r="F146" s="24" t="s">
        <v>18</v>
      </c>
      <c r="G146" s="20">
        <f t="shared" ref="G146:J147" si="36">G147</f>
        <v>130</v>
      </c>
      <c r="H146" s="20">
        <f t="shared" si="36"/>
        <v>130</v>
      </c>
      <c r="I146" s="20">
        <f t="shared" si="36"/>
        <v>130</v>
      </c>
      <c r="J146" s="20">
        <f t="shared" si="36"/>
        <v>0</v>
      </c>
      <c r="K146" s="20">
        <f>K147</f>
        <v>100</v>
      </c>
      <c r="L146" s="69">
        <f>SUM(L147)</f>
        <v>100</v>
      </c>
      <c r="M146" s="21">
        <f t="shared" ref="M146:M212" si="37">SUM(L146/K146*100)</f>
        <v>100</v>
      </c>
    </row>
    <row r="147" spans="1:13" ht="19.5" customHeight="1">
      <c r="A147" s="22" t="s">
        <v>125</v>
      </c>
      <c r="B147" s="23">
        <v>602</v>
      </c>
      <c r="C147" s="24" t="s">
        <v>52</v>
      </c>
      <c r="D147" s="24">
        <v>12</v>
      </c>
      <c r="E147" s="24" t="s">
        <v>18</v>
      </c>
      <c r="F147" s="24" t="s">
        <v>18</v>
      </c>
      <c r="G147" s="20">
        <f t="shared" si="36"/>
        <v>130</v>
      </c>
      <c r="H147" s="20">
        <f t="shared" si="36"/>
        <v>130</v>
      </c>
      <c r="I147" s="20">
        <f t="shared" si="36"/>
        <v>130</v>
      </c>
      <c r="J147" s="20">
        <f t="shared" si="36"/>
        <v>0</v>
      </c>
      <c r="K147" s="20">
        <f>K148</f>
        <v>100</v>
      </c>
      <c r="L147" s="69">
        <f>SUM(L148)</f>
        <v>100</v>
      </c>
      <c r="M147" s="21">
        <f t="shared" si="37"/>
        <v>100</v>
      </c>
    </row>
    <row r="148" spans="1:13" ht="18.75" customHeight="1">
      <c r="A148" s="22" t="s">
        <v>160</v>
      </c>
      <c r="B148" s="23">
        <v>602</v>
      </c>
      <c r="C148" s="24" t="s">
        <v>52</v>
      </c>
      <c r="D148" s="24">
        <v>12</v>
      </c>
      <c r="E148" s="24" t="s">
        <v>161</v>
      </c>
      <c r="F148" s="24" t="s">
        <v>18</v>
      </c>
      <c r="G148" s="20">
        <f>G149+G151+G153</f>
        <v>130</v>
      </c>
      <c r="H148" s="20">
        <f>H149+H151+H153</f>
        <v>130</v>
      </c>
      <c r="I148" s="20">
        <f>I149+I151+I153</f>
        <v>130</v>
      </c>
      <c r="J148" s="20">
        <f>J149+J151+J153</f>
        <v>0</v>
      </c>
      <c r="K148" s="20">
        <f>K149+K151</f>
        <v>100</v>
      </c>
      <c r="L148" s="69">
        <f>SUM(L149+L151+L153)</f>
        <v>100</v>
      </c>
      <c r="M148" s="21">
        <f t="shared" si="37"/>
        <v>100</v>
      </c>
    </row>
    <row r="149" spans="1:13" ht="55.5" customHeight="1">
      <c r="A149" s="22" t="s">
        <v>162</v>
      </c>
      <c r="B149" s="23">
        <v>602</v>
      </c>
      <c r="C149" s="24" t="s">
        <v>52</v>
      </c>
      <c r="D149" s="24">
        <v>12</v>
      </c>
      <c r="E149" s="25" t="s">
        <v>163</v>
      </c>
      <c r="F149" s="24" t="s">
        <v>18</v>
      </c>
      <c r="G149" s="20">
        <f>G150</f>
        <v>60</v>
      </c>
      <c r="H149" s="20">
        <f>H150</f>
        <v>60</v>
      </c>
      <c r="I149" s="20">
        <f>I150</f>
        <v>60</v>
      </c>
      <c r="J149" s="20">
        <f>J150</f>
        <v>0</v>
      </c>
      <c r="K149" s="20">
        <f>G149+J149</f>
        <v>60</v>
      </c>
      <c r="L149" s="69">
        <f>SUM(L150)</f>
        <v>60</v>
      </c>
      <c r="M149" s="21">
        <f t="shared" si="37"/>
        <v>100</v>
      </c>
    </row>
    <row r="150" spans="1:13" ht="38.25" customHeight="1">
      <c r="A150" s="22" t="s">
        <v>31</v>
      </c>
      <c r="B150" s="23">
        <v>602</v>
      </c>
      <c r="C150" s="24" t="s">
        <v>52</v>
      </c>
      <c r="D150" s="24">
        <v>12</v>
      </c>
      <c r="E150" s="25" t="s">
        <v>163</v>
      </c>
      <c r="F150" s="24" t="s">
        <v>32</v>
      </c>
      <c r="G150" s="20">
        <v>60</v>
      </c>
      <c r="H150" s="20">
        <v>60</v>
      </c>
      <c r="I150" s="20">
        <v>60</v>
      </c>
      <c r="J150" s="20"/>
      <c r="K150" s="20">
        <f>G150+J150</f>
        <v>60</v>
      </c>
      <c r="L150" s="69">
        <v>60</v>
      </c>
      <c r="M150" s="21">
        <f t="shared" si="37"/>
        <v>100</v>
      </c>
    </row>
    <row r="151" spans="1:13" ht="37.5">
      <c r="A151" s="36" t="s">
        <v>164</v>
      </c>
      <c r="B151" s="23">
        <v>602</v>
      </c>
      <c r="C151" s="24" t="s">
        <v>52</v>
      </c>
      <c r="D151" s="24">
        <v>12</v>
      </c>
      <c r="E151" s="24" t="s">
        <v>165</v>
      </c>
      <c r="F151" s="24" t="s">
        <v>18</v>
      </c>
      <c r="G151" s="20">
        <f>G152</f>
        <v>40</v>
      </c>
      <c r="H151" s="20">
        <f>H152</f>
        <v>40</v>
      </c>
      <c r="I151" s="20">
        <f>I152</f>
        <v>40</v>
      </c>
      <c r="J151" s="20">
        <f>J152</f>
        <v>0</v>
      </c>
      <c r="K151" s="20">
        <f>G151+J151</f>
        <v>40</v>
      </c>
      <c r="L151" s="69">
        <f>SUM(L152)</f>
        <v>40</v>
      </c>
      <c r="M151" s="21">
        <f t="shared" si="37"/>
        <v>100</v>
      </c>
    </row>
    <row r="152" spans="1:13" ht="40.5" customHeight="1">
      <c r="A152" s="22" t="s">
        <v>31</v>
      </c>
      <c r="B152" s="23">
        <v>602</v>
      </c>
      <c r="C152" s="24" t="s">
        <v>52</v>
      </c>
      <c r="D152" s="24">
        <v>12</v>
      </c>
      <c r="E152" s="24" t="s">
        <v>165</v>
      </c>
      <c r="F152" s="24" t="s">
        <v>32</v>
      </c>
      <c r="G152" s="20">
        <v>40</v>
      </c>
      <c r="H152" s="20">
        <v>40</v>
      </c>
      <c r="I152" s="20">
        <v>40</v>
      </c>
      <c r="J152" s="20"/>
      <c r="K152" s="20">
        <f>G152+J152</f>
        <v>40</v>
      </c>
      <c r="L152" s="69">
        <v>40</v>
      </c>
      <c r="M152" s="21">
        <f t="shared" si="37"/>
        <v>100</v>
      </c>
    </row>
    <row r="153" spans="1:13" ht="19.5" hidden="1" customHeight="1">
      <c r="A153" s="22" t="s">
        <v>166</v>
      </c>
      <c r="B153" s="23">
        <v>602</v>
      </c>
      <c r="C153" s="24" t="s">
        <v>52</v>
      </c>
      <c r="D153" s="24">
        <v>12</v>
      </c>
      <c r="E153" s="24" t="s">
        <v>167</v>
      </c>
      <c r="F153" s="24" t="s">
        <v>18</v>
      </c>
      <c r="G153" s="20">
        <f>G154</f>
        <v>30</v>
      </c>
      <c r="H153" s="20">
        <f>H154</f>
        <v>30</v>
      </c>
      <c r="I153" s="20">
        <f>I154</f>
        <v>30</v>
      </c>
      <c r="J153" s="20">
        <f>J154</f>
        <v>0</v>
      </c>
      <c r="K153" s="20">
        <v>0</v>
      </c>
      <c r="L153" s="69">
        <f>SUM(L154)</f>
        <v>0</v>
      </c>
      <c r="M153" s="21" t="e">
        <f t="shared" si="37"/>
        <v>#DIV/0!</v>
      </c>
    </row>
    <row r="154" spans="1:13" ht="40.5" hidden="1" customHeight="1">
      <c r="A154" s="22" t="s">
        <v>157</v>
      </c>
      <c r="B154" s="23">
        <v>602</v>
      </c>
      <c r="C154" s="24" t="s">
        <v>52</v>
      </c>
      <c r="D154" s="24">
        <v>12</v>
      </c>
      <c r="E154" s="24" t="s">
        <v>167</v>
      </c>
      <c r="F154" s="24" t="s">
        <v>32</v>
      </c>
      <c r="G154" s="20">
        <v>30</v>
      </c>
      <c r="H154" s="20">
        <v>30</v>
      </c>
      <c r="I154" s="20">
        <v>30</v>
      </c>
      <c r="J154" s="20"/>
      <c r="K154" s="20">
        <v>0</v>
      </c>
      <c r="L154" s="69">
        <v>0</v>
      </c>
      <c r="M154" s="21" t="e">
        <f t="shared" si="37"/>
        <v>#DIV/0!</v>
      </c>
    </row>
    <row r="155" spans="1:13">
      <c r="A155" s="22" t="s">
        <v>168</v>
      </c>
      <c r="B155" s="23">
        <v>602</v>
      </c>
      <c r="C155" s="24" t="s">
        <v>62</v>
      </c>
      <c r="D155" s="24" t="s">
        <v>18</v>
      </c>
      <c r="E155" s="24" t="s">
        <v>18</v>
      </c>
      <c r="F155" s="24" t="s">
        <v>18</v>
      </c>
      <c r="G155" s="20">
        <f>G156</f>
        <v>0</v>
      </c>
      <c r="H155" s="20">
        <f t="shared" ref="H155:J159" si="38">H156</f>
        <v>4651.75</v>
      </c>
      <c r="I155" s="20">
        <f t="shared" si="38"/>
        <v>8200</v>
      </c>
      <c r="J155" s="20">
        <f t="shared" si="38"/>
        <v>71.599999999999994</v>
      </c>
      <c r="K155" s="20">
        <f t="shared" ref="K155:K160" si="39">G155+J155</f>
        <v>71.599999999999994</v>
      </c>
      <c r="L155" s="69">
        <f>SUM(L156)</f>
        <v>71.599999999999994</v>
      </c>
      <c r="M155" s="21">
        <f t="shared" si="37"/>
        <v>100</v>
      </c>
    </row>
    <row r="156" spans="1:13">
      <c r="A156" s="22" t="s">
        <v>169</v>
      </c>
      <c r="B156" s="23">
        <v>602</v>
      </c>
      <c r="C156" s="24" t="s">
        <v>62</v>
      </c>
      <c r="D156" s="24" t="s">
        <v>20</v>
      </c>
      <c r="E156" s="24" t="s">
        <v>18</v>
      </c>
      <c r="F156" s="24" t="s">
        <v>18</v>
      </c>
      <c r="G156" s="20">
        <f>G157</f>
        <v>0</v>
      </c>
      <c r="H156" s="20">
        <f t="shared" si="38"/>
        <v>4651.75</v>
      </c>
      <c r="I156" s="20">
        <f t="shared" si="38"/>
        <v>8200</v>
      </c>
      <c r="J156" s="20">
        <f t="shared" si="38"/>
        <v>71.599999999999994</v>
      </c>
      <c r="K156" s="20">
        <f t="shared" si="39"/>
        <v>71.599999999999994</v>
      </c>
      <c r="L156" s="69">
        <f>SUM(L157)</f>
        <v>71.599999999999994</v>
      </c>
      <c r="M156" s="21">
        <f t="shared" si="37"/>
        <v>100</v>
      </c>
    </row>
    <row r="157" spans="1:13" ht="56.25">
      <c r="A157" s="22" t="s">
        <v>114</v>
      </c>
      <c r="B157" s="23">
        <v>602</v>
      </c>
      <c r="C157" s="24" t="s">
        <v>62</v>
      </c>
      <c r="D157" s="24" t="s">
        <v>20</v>
      </c>
      <c r="E157" s="24" t="s">
        <v>115</v>
      </c>
      <c r="F157" s="24"/>
      <c r="G157" s="20">
        <f>G158</f>
        <v>0</v>
      </c>
      <c r="H157" s="20">
        <f t="shared" si="38"/>
        <v>4651.75</v>
      </c>
      <c r="I157" s="20">
        <f t="shared" si="38"/>
        <v>8200</v>
      </c>
      <c r="J157" s="20">
        <f t="shared" si="38"/>
        <v>71.599999999999994</v>
      </c>
      <c r="K157" s="20">
        <f t="shared" si="39"/>
        <v>71.599999999999994</v>
      </c>
      <c r="L157" s="69">
        <f>SUM(L158)</f>
        <v>71.599999999999994</v>
      </c>
      <c r="M157" s="21">
        <f t="shared" si="37"/>
        <v>100</v>
      </c>
    </row>
    <row r="158" spans="1:13" ht="20.25" customHeight="1">
      <c r="A158" s="22" t="s">
        <v>170</v>
      </c>
      <c r="B158" s="23">
        <v>602</v>
      </c>
      <c r="C158" s="24" t="s">
        <v>62</v>
      </c>
      <c r="D158" s="24" t="s">
        <v>20</v>
      </c>
      <c r="E158" s="24" t="s">
        <v>171</v>
      </c>
      <c r="F158" s="24"/>
      <c r="G158" s="20">
        <f>G159</f>
        <v>0</v>
      </c>
      <c r="H158" s="20">
        <f t="shared" si="38"/>
        <v>4651.75</v>
      </c>
      <c r="I158" s="20">
        <f t="shared" si="38"/>
        <v>8200</v>
      </c>
      <c r="J158" s="20">
        <f t="shared" si="38"/>
        <v>71.599999999999994</v>
      </c>
      <c r="K158" s="20">
        <f t="shared" si="39"/>
        <v>71.599999999999994</v>
      </c>
      <c r="L158" s="69">
        <f>SUM(L159)</f>
        <v>71.599999999999994</v>
      </c>
      <c r="M158" s="21">
        <f t="shared" si="37"/>
        <v>100</v>
      </c>
    </row>
    <row r="159" spans="1:13" ht="37.5">
      <c r="A159" s="22" t="s">
        <v>172</v>
      </c>
      <c r="B159" s="23">
        <v>602</v>
      </c>
      <c r="C159" s="24" t="s">
        <v>62</v>
      </c>
      <c r="D159" s="24" t="s">
        <v>20</v>
      </c>
      <c r="E159" s="37" t="s">
        <v>173</v>
      </c>
      <c r="F159" s="25" t="s">
        <v>18</v>
      </c>
      <c r="G159" s="20">
        <f>G160</f>
        <v>0</v>
      </c>
      <c r="H159" s="20">
        <f t="shared" si="38"/>
        <v>4651.75</v>
      </c>
      <c r="I159" s="20">
        <f t="shared" si="38"/>
        <v>8200</v>
      </c>
      <c r="J159" s="20">
        <f t="shared" si="38"/>
        <v>71.599999999999994</v>
      </c>
      <c r="K159" s="20">
        <f t="shared" si="39"/>
        <v>71.599999999999994</v>
      </c>
      <c r="L159" s="69">
        <f>SUM(L160)</f>
        <v>71.599999999999994</v>
      </c>
      <c r="M159" s="21">
        <f t="shared" si="37"/>
        <v>100</v>
      </c>
    </row>
    <row r="160" spans="1:13" ht="19.5" customHeight="1">
      <c r="A160" s="22" t="s">
        <v>33</v>
      </c>
      <c r="B160" s="23">
        <v>602</v>
      </c>
      <c r="C160" s="24" t="s">
        <v>62</v>
      </c>
      <c r="D160" s="24" t="s">
        <v>20</v>
      </c>
      <c r="E160" s="37" t="s">
        <v>173</v>
      </c>
      <c r="F160" s="25" t="s">
        <v>34</v>
      </c>
      <c r="G160" s="20"/>
      <c r="H160" s="20">
        <v>4651.75</v>
      </c>
      <c r="I160" s="20">
        <v>8200</v>
      </c>
      <c r="J160" s="20">
        <v>71.599999999999994</v>
      </c>
      <c r="K160" s="20">
        <f t="shared" si="39"/>
        <v>71.599999999999994</v>
      </c>
      <c r="L160" s="69">
        <v>71.599999999999994</v>
      </c>
      <c r="M160" s="21">
        <f t="shared" si="37"/>
        <v>100</v>
      </c>
    </row>
    <row r="161" spans="1:13" s="38" customFormat="1" ht="15.75" customHeight="1">
      <c r="A161" s="1"/>
      <c r="B161" s="23"/>
      <c r="C161" s="24"/>
      <c r="D161" s="24"/>
      <c r="E161" s="24"/>
      <c r="F161" s="24"/>
      <c r="G161" s="20"/>
      <c r="H161" s="20"/>
      <c r="I161" s="20"/>
      <c r="J161" s="20"/>
      <c r="K161" s="20"/>
      <c r="L161" s="66"/>
      <c r="M161" s="21"/>
    </row>
    <row r="162" spans="1:13" s="38" customFormat="1" ht="37.5" customHeight="1">
      <c r="A162" s="1" t="s">
        <v>174</v>
      </c>
      <c r="B162" s="23">
        <v>604</v>
      </c>
      <c r="C162" s="24" t="s">
        <v>18</v>
      </c>
      <c r="D162" s="24" t="s">
        <v>18</v>
      </c>
      <c r="E162" s="24" t="s">
        <v>18</v>
      </c>
      <c r="F162" s="24" t="s">
        <v>18</v>
      </c>
      <c r="G162" s="19">
        <f>G163+G175+G181</f>
        <v>19786.28</v>
      </c>
      <c r="H162" s="19">
        <f>H163+H175+H181</f>
        <v>11798.98</v>
      </c>
      <c r="I162" s="19">
        <f>I163+I175+I181</f>
        <v>11798.98</v>
      </c>
      <c r="J162" s="19">
        <f>J163+J175+J181</f>
        <v>-2587.35</v>
      </c>
      <c r="K162" s="20">
        <f>K163+K175+K181</f>
        <v>9298.9699999999993</v>
      </c>
      <c r="L162" s="71">
        <f>SUM(L163+L175+L181)</f>
        <v>8919.2999999999993</v>
      </c>
      <c r="M162" s="21">
        <f t="shared" si="37"/>
        <v>95.917074686766384</v>
      </c>
    </row>
    <row r="163" spans="1:13" ht="18.75" customHeight="1">
      <c r="A163" s="22" t="s">
        <v>19</v>
      </c>
      <c r="B163" s="23">
        <v>604</v>
      </c>
      <c r="C163" s="24" t="s">
        <v>20</v>
      </c>
      <c r="D163" s="24" t="s">
        <v>18</v>
      </c>
      <c r="E163" s="24" t="s">
        <v>18</v>
      </c>
      <c r="F163" s="24" t="s">
        <v>18</v>
      </c>
      <c r="G163" s="20">
        <f>G164+G171</f>
        <v>10378.98</v>
      </c>
      <c r="H163" s="20">
        <f>H164+H171</f>
        <v>10298.98</v>
      </c>
      <c r="I163" s="20">
        <f>I164+I171</f>
        <v>10298.98</v>
      </c>
      <c r="J163" s="20">
        <f>J164+J171</f>
        <v>-40.35</v>
      </c>
      <c r="K163" s="20">
        <f>SUM(K164+K171)</f>
        <v>8764.7000000000007</v>
      </c>
      <c r="L163" s="69">
        <f>SUM(L164+L171)</f>
        <v>8448.15</v>
      </c>
      <c r="M163" s="21">
        <f t="shared" si="37"/>
        <v>96.388353280773998</v>
      </c>
    </row>
    <row r="164" spans="1:13" ht="38.25" customHeight="1">
      <c r="A164" s="22" t="s">
        <v>175</v>
      </c>
      <c r="B164" s="23">
        <v>604</v>
      </c>
      <c r="C164" s="24" t="s">
        <v>20</v>
      </c>
      <c r="D164" s="24" t="s">
        <v>176</v>
      </c>
      <c r="E164" s="24" t="s">
        <v>18</v>
      </c>
      <c r="F164" s="24" t="s">
        <v>18</v>
      </c>
      <c r="G164" s="20">
        <f>G165</f>
        <v>9378.98</v>
      </c>
      <c r="H164" s="20">
        <f t="shared" ref="H164:I166" si="40">H165</f>
        <v>9298.98</v>
      </c>
      <c r="I164" s="20">
        <f t="shared" si="40"/>
        <v>9298.98</v>
      </c>
      <c r="J164" s="20">
        <f>J165</f>
        <v>-40.35</v>
      </c>
      <c r="K164" s="20">
        <f t="shared" ref="K164:L166" si="41">SUM(K165)</f>
        <v>8764.7000000000007</v>
      </c>
      <c r="L164" s="69">
        <f t="shared" si="41"/>
        <v>8448.15</v>
      </c>
      <c r="M164" s="21">
        <f t="shared" si="37"/>
        <v>96.388353280773998</v>
      </c>
    </row>
    <row r="165" spans="1:13" ht="36" customHeight="1">
      <c r="A165" s="22" t="s">
        <v>177</v>
      </c>
      <c r="B165" s="23">
        <v>604</v>
      </c>
      <c r="C165" s="24" t="s">
        <v>20</v>
      </c>
      <c r="D165" s="24" t="s">
        <v>176</v>
      </c>
      <c r="E165" s="24" t="s">
        <v>178</v>
      </c>
      <c r="F165" s="24" t="s">
        <v>18</v>
      </c>
      <c r="G165" s="20">
        <f>G166</f>
        <v>9378.98</v>
      </c>
      <c r="H165" s="20">
        <f t="shared" si="40"/>
        <v>9298.98</v>
      </c>
      <c r="I165" s="20">
        <f t="shared" si="40"/>
        <v>9298.98</v>
      </c>
      <c r="J165" s="20">
        <f>J166</f>
        <v>-40.35</v>
      </c>
      <c r="K165" s="20">
        <f t="shared" si="41"/>
        <v>8764.7000000000007</v>
      </c>
      <c r="L165" s="69">
        <f t="shared" si="41"/>
        <v>8448.15</v>
      </c>
      <c r="M165" s="21">
        <f t="shared" si="37"/>
        <v>96.388353280773998</v>
      </c>
    </row>
    <row r="166" spans="1:13" ht="40.5" customHeight="1">
      <c r="A166" s="22" t="s">
        <v>179</v>
      </c>
      <c r="B166" s="23">
        <v>604</v>
      </c>
      <c r="C166" s="24" t="s">
        <v>20</v>
      </c>
      <c r="D166" s="24" t="s">
        <v>176</v>
      </c>
      <c r="E166" s="24" t="s">
        <v>180</v>
      </c>
      <c r="F166" s="24" t="s">
        <v>18</v>
      </c>
      <c r="G166" s="20">
        <f>G167</f>
        <v>9378.98</v>
      </c>
      <c r="H166" s="20">
        <f t="shared" si="40"/>
        <v>9298.98</v>
      </c>
      <c r="I166" s="20">
        <f t="shared" si="40"/>
        <v>9298.98</v>
      </c>
      <c r="J166" s="20">
        <f>J167</f>
        <v>-40.35</v>
      </c>
      <c r="K166" s="20">
        <f t="shared" si="41"/>
        <v>8764.7000000000007</v>
      </c>
      <c r="L166" s="69">
        <f t="shared" si="41"/>
        <v>8448.15</v>
      </c>
      <c r="M166" s="21">
        <f t="shared" si="37"/>
        <v>96.388353280773998</v>
      </c>
    </row>
    <row r="167" spans="1:13" ht="19.5" customHeight="1">
      <c r="A167" s="22" t="s">
        <v>27</v>
      </c>
      <c r="B167" s="23">
        <v>604</v>
      </c>
      <c r="C167" s="24" t="s">
        <v>20</v>
      </c>
      <c r="D167" s="24" t="s">
        <v>176</v>
      </c>
      <c r="E167" s="24" t="s">
        <v>181</v>
      </c>
      <c r="F167" s="24" t="s">
        <v>18</v>
      </c>
      <c r="G167" s="20">
        <f>G168+G169+G170</f>
        <v>9378.98</v>
      </c>
      <c r="H167" s="20">
        <f>H168+H169+H170</f>
        <v>9298.98</v>
      </c>
      <c r="I167" s="20">
        <f>I168+I169+I170</f>
        <v>9298.98</v>
      </c>
      <c r="J167" s="20">
        <f>J168+J169+J170</f>
        <v>-40.35</v>
      </c>
      <c r="K167" s="20">
        <f>K168+K169+K170</f>
        <v>8764.7000000000007</v>
      </c>
      <c r="L167" s="69">
        <f>SUM(L168:L170)</f>
        <v>8448.15</v>
      </c>
      <c r="M167" s="21">
        <f t="shared" si="37"/>
        <v>96.388353280773998</v>
      </c>
    </row>
    <row r="168" spans="1:13" ht="78.75" customHeight="1">
      <c r="A168" s="22" t="s">
        <v>29</v>
      </c>
      <c r="B168" s="23">
        <v>604</v>
      </c>
      <c r="C168" s="24" t="s">
        <v>20</v>
      </c>
      <c r="D168" s="24" t="s">
        <v>176</v>
      </c>
      <c r="E168" s="24" t="s">
        <v>181</v>
      </c>
      <c r="F168" s="24" t="s">
        <v>30</v>
      </c>
      <c r="G168" s="20">
        <v>8392.48</v>
      </c>
      <c r="H168" s="20">
        <v>8392.48</v>
      </c>
      <c r="I168" s="20">
        <v>8392.48</v>
      </c>
      <c r="J168" s="20">
        <f>-40.35</f>
        <v>-40.35</v>
      </c>
      <c r="K168" s="20">
        <v>7800.67</v>
      </c>
      <c r="L168" s="69">
        <v>7580.91</v>
      </c>
      <c r="M168" s="21">
        <f t="shared" si="37"/>
        <v>97.182806092297199</v>
      </c>
    </row>
    <row r="169" spans="1:13" ht="37.5" customHeight="1">
      <c r="A169" s="22" t="s">
        <v>31</v>
      </c>
      <c r="B169" s="23">
        <v>604</v>
      </c>
      <c r="C169" s="24" t="s">
        <v>20</v>
      </c>
      <c r="D169" s="24" t="s">
        <v>176</v>
      </c>
      <c r="E169" s="24" t="s">
        <v>181</v>
      </c>
      <c r="F169" s="24" t="s">
        <v>32</v>
      </c>
      <c r="G169" s="20">
        <v>975.2</v>
      </c>
      <c r="H169" s="20">
        <v>895.2</v>
      </c>
      <c r="I169" s="20">
        <v>895.2</v>
      </c>
      <c r="J169" s="20"/>
      <c r="K169" s="20">
        <v>956.11</v>
      </c>
      <c r="L169" s="69">
        <v>860.35</v>
      </c>
      <c r="M169" s="21">
        <f t="shared" si="37"/>
        <v>89.984416019077301</v>
      </c>
    </row>
    <row r="170" spans="1:13" ht="20.25" customHeight="1">
      <c r="A170" s="22" t="s">
        <v>33</v>
      </c>
      <c r="B170" s="23">
        <v>604</v>
      </c>
      <c r="C170" s="24" t="s">
        <v>20</v>
      </c>
      <c r="D170" s="24" t="s">
        <v>176</v>
      </c>
      <c r="E170" s="24" t="s">
        <v>181</v>
      </c>
      <c r="F170" s="24" t="s">
        <v>34</v>
      </c>
      <c r="G170" s="20">
        <v>11.3</v>
      </c>
      <c r="H170" s="20">
        <v>11.3</v>
      </c>
      <c r="I170" s="20">
        <v>11.3</v>
      </c>
      <c r="J170" s="20"/>
      <c r="K170" s="20">
        <v>7.92</v>
      </c>
      <c r="L170" s="69">
        <v>6.89</v>
      </c>
      <c r="M170" s="21">
        <f t="shared" si="37"/>
        <v>86.994949494949495</v>
      </c>
    </row>
    <row r="171" spans="1:13" ht="20.25" hidden="1" customHeight="1">
      <c r="A171" s="22" t="s">
        <v>73</v>
      </c>
      <c r="B171" s="23">
        <v>604</v>
      </c>
      <c r="C171" s="24" t="s">
        <v>20</v>
      </c>
      <c r="D171" s="24" t="s">
        <v>74</v>
      </c>
      <c r="E171" s="24" t="s">
        <v>18</v>
      </c>
      <c r="F171" s="24" t="s">
        <v>18</v>
      </c>
      <c r="G171" s="20">
        <f>G172</f>
        <v>1000</v>
      </c>
      <c r="H171" s="20">
        <f t="shared" ref="H171:I173" si="42">H172</f>
        <v>1000</v>
      </c>
      <c r="I171" s="20">
        <f t="shared" si="42"/>
        <v>1000</v>
      </c>
      <c r="J171" s="20">
        <f>J172</f>
        <v>0</v>
      </c>
      <c r="K171" s="20">
        <f>K172</f>
        <v>0</v>
      </c>
      <c r="L171" s="69">
        <f>SUM(L172)</f>
        <v>0</v>
      </c>
      <c r="M171" s="21" t="e">
        <f t="shared" si="37"/>
        <v>#DIV/0!</v>
      </c>
    </row>
    <row r="172" spans="1:13" ht="38.25" hidden="1" customHeight="1">
      <c r="A172" s="22" t="s">
        <v>182</v>
      </c>
      <c r="B172" s="23">
        <v>604</v>
      </c>
      <c r="C172" s="24" t="s">
        <v>20</v>
      </c>
      <c r="D172" s="24" t="s">
        <v>74</v>
      </c>
      <c r="E172" s="24" t="s">
        <v>183</v>
      </c>
      <c r="F172" s="24" t="s">
        <v>18</v>
      </c>
      <c r="G172" s="20">
        <f>G173</f>
        <v>1000</v>
      </c>
      <c r="H172" s="20">
        <f t="shared" si="42"/>
        <v>1000</v>
      </c>
      <c r="I172" s="20">
        <f t="shared" si="42"/>
        <v>1000</v>
      </c>
      <c r="J172" s="20">
        <f>J173</f>
        <v>0</v>
      </c>
      <c r="K172" s="20">
        <f>K173</f>
        <v>0</v>
      </c>
      <c r="L172" s="69">
        <f>SUM(L173)</f>
        <v>0</v>
      </c>
      <c r="M172" s="21" t="e">
        <f t="shared" si="37"/>
        <v>#DIV/0!</v>
      </c>
    </row>
    <row r="173" spans="1:13" ht="38.25" hidden="1" customHeight="1">
      <c r="A173" s="22" t="s">
        <v>184</v>
      </c>
      <c r="B173" s="23">
        <v>604</v>
      </c>
      <c r="C173" s="24" t="s">
        <v>20</v>
      </c>
      <c r="D173" s="24" t="s">
        <v>74</v>
      </c>
      <c r="E173" s="24" t="s">
        <v>185</v>
      </c>
      <c r="F173" s="24" t="s">
        <v>18</v>
      </c>
      <c r="G173" s="20">
        <f>G174</f>
        <v>1000</v>
      </c>
      <c r="H173" s="20">
        <f t="shared" si="42"/>
        <v>1000</v>
      </c>
      <c r="I173" s="20">
        <f t="shared" si="42"/>
        <v>1000</v>
      </c>
      <c r="J173" s="20">
        <f>J174</f>
        <v>0</v>
      </c>
      <c r="K173" s="20">
        <f>SUM(K174)</f>
        <v>0</v>
      </c>
      <c r="L173" s="69">
        <f>SUM(L174)</f>
        <v>0</v>
      </c>
      <c r="M173" s="21" t="e">
        <f t="shared" si="37"/>
        <v>#DIV/0!</v>
      </c>
    </row>
    <row r="174" spans="1:13" ht="19.5" hidden="1" customHeight="1">
      <c r="A174" s="22" t="s">
        <v>33</v>
      </c>
      <c r="B174" s="23">
        <v>604</v>
      </c>
      <c r="C174" s="24" t="s">
        <v>20</v>
      </c>
      <c r="D174" s="24" t="s">
        <v>74</v>
      </c>
      <c r="E174" s="24" t="s">
        <v>185</v>
      </c>
      <c r="F174" s="24" t="s">
        <v>34</v>
      </c>
      <c r="G174" s="20">
        <v>1000</v>
      </c>
      <c r="H174" s="20">
        <v>1000</v>
      </c>
      <c r="I174" s="20">
        <v>1000</v>
      </c>
      <c r="J174" s="20"/>
      <c r="K174" s="20">
        <v>0</v>
      </c>
      <c r="L174" s="69">
        <v>0</v>
      </c>
      <c r="M174" s="21" t="e">
        <f t="shared" si="37"/>
        <v>#DIV/0!</v>
      </c>
    </row>
    <row r="175" spans="1:13" ht="18.75" customHeight="1">
      <c r="A175" s="22" t="s">
        <v>186</v>
      </c>
      <c r="B175" s="23">
        <v>604</v>
      </c>
      <c r="C175" s="24" t="s">
        <v>187</v>
      </c>
      <c r="D175" s="24" t="s">
        <v>18</v>
      </c>
      <c r="E175" s="24" t="s">
        <v>18</v>
      </c>
      <c r="F175" s="24" t="s">
        <v>18</v>
      </c>
      <c r="G175" s="20">
        <f>G176</f>
        <v>7907.3</v>
      </c>
      <c r="H175" s="20">
        <f t="shared" ref="H175:I179" si="43">H176</f>
        <v>0</v>
      </c>
      <c r="I175" s="20">
        <f t="shared" si="43"/>
        <v>0</v>
      </c>
      <c r="J175" s="20">
        <f t="shared" ref="J175:K179" si="44">J176</f>
        <v>-2000</v>
      </c>
      <c r="K175" s="20">
        <f t="shared" si="44"/>
        <v>48.47</v>
      </c>
      <c r="L175" s="69">
        <f>SUM(L177)</f>
        <v>0</v>
      </c>
      <c r="M175" s="21">
        <f t="shared" si="37"/>
        <v>0</v>
      </c>
    </row>
    <row r="176" spans="1:13" ht="18.75" customHeight="1">
      <c r="A176" s="22" t="s">
        <v>188</v>
      </c>
      <c r="B176" s="23">
        <v>604</v>
      </c>
      <c r="C176" s="24" t="s">
        <v>187</v>
      </c>
      <c r="D176" s="24" t="s">
        <v>46</v>
      </c>
      <c r="E176" s="24" t="s">
        <v>18</v>
      </c>
      <c r="F176" s="24" t="s">
        <v>18</v>
      </c>
      <c r="G176" s="20">
        <f>G177</f>
        <v>7907.3</v>
      </c>
      <c r="H176" s="20">
        <f t="shared" si="43"/>
        <v>0</v>
      </c>
      <c r="I176" s="20">
        <f t="shared" si="43"/>
        <v>0</v>
      </c>
      <c r="J176" s="20">
        <f t="shared" si="44"/>
        <v>-2000</v>
      </c>
      <c r="K176" s="20">
        <f t="shared" si="44"/>
        <v>48.47</v>
      </c>
      <c r="L176" s="69">
        <f>SUM(L177)</f>
        <v>0</v>
      </c>
      <c r="M176" s="21">
        <f t="shared" si="37"/>
        <v>0</v>
      </c>
    </row>
    <row r="177" spans="1:15" ht="39.75" customHeight="1">
      <c r="A177" s="22" t="s">
        <v>177</v>
      </c>
      <c r="B177" s="23">
        <v>604</v>
      </c>
      <c r="C177" s="24" t="s">
        <v>187</v>
      </c>
      <c r="D177" s="24" t="s">
        <v>46</v>
      </c>
      <c r="E177" s="24" t="s">
        <v>178</v>
      </c>
      <c r="F177" s="24" t="s">
        <v>18</v>
      </c>
      <c r="G177" s="20">
        <f>G178</f>
        <v>7907.3</v>
      </c>
      <c r="H177" s="20">
        <f t="shared" si="43"/>
        <v>0</v>
      </c>
      <c r="I177" s="20">
        <f t="shared" si="43"/>
        <v>0</v>
      </c>
      <c r="J177" s="20">
        <f t="shared" si="44"/>
        <v>-2000</v>
      </c>
      <c r="K177" s="20">
        <f t="shared" si="44"/>
        <v>48.47</v>
      </c>
      <c r="L177" s="69">
        <f>SUM(L178)</f>
        <v>0</v>
      </c>
      <c r="M177" s="21">
        <f t="shared" si="37"/>
        <v>0</v>
      </c>
    </row>
    <row r="178" spans="1:15" ht="77.25" customHeight="1">
      <c r="A178" s="22" t="s">
        <v>189</v>
      </c>
      <c r="B178" s="23">
        <v>604</v>
      </c>
      <c r="C178" s="24" t="s">
        <v>187</v>
      </c>
      <c r="D178" s="24" t="s">
        <v>46</v>
      </c>
      <c r="E178" s="24" t="s">
        <v>190</v>
      </c>
      <c r="F178" s="24" t="s">
        <v>18</v>
      </c>
      <c r="G178" s="20">
        <f>G179</f>
        <v>7907.3</v>
      </c>
      <c r="H178" s="20">
        <f t="shared" si="43"/>
        <v>0</v>
      </c>
      <c r="I178" s="20">
        <f t="shared" si="43"/>
        <v>0</v>
      </c>
      <c r="J178" s="20">
        <f t="shared" si="44"/>
        <v>-2000</v>
      </c>
      <c r="K178" s="20">
        <f t="shared" si="44"/>
        <v>48.47</v>
      </c>
      <c r="L178" s="69">
        <f>SUM(L179)</f>
        <v>0</v>
      </c>
      <c r="M178" s="21">
        <f t="shared" si="37"/>
        <v>0</v>
      </c>
    </row>
    <row r="179" spans="1:15" ht="92.25" customHeight="1">
      <c r="A179" s="22" t="s">
        <v>486</v>
      </c>
      <c r="B179" s="23">
        <v>604</v>
      </c>
      <c r="C179" s="24" t="s">
        <v>187</v>
      </c>
      <c r="D179" s="24" t="s">
        <v>46</v>
      </c>
      <c r="E179" s="24" t="s">
        <v>191</v>
      </c>
      <c r="F179" s="24" t="s">
        <v>18</v>
      </c>
      <c r="G179" s="20">
        <f>G180</f>
        <v>7907.3</v>
      </c>
      <c r="H179" s="20">
        <f t="shared" si="43"/>
        <v>0</v>
      </c>
      <c r="I179" s="20">
        <f t="shared" si="43"/>
        <v>0</v>
      </c>
      <c r="J179" s="20">
        <f t="shared" si="44"/>
        <v>-2000</v>
      </c>
      <c r="K179" s="20">
        <f t="shared" si="44"/>
        <v>48.47</v>
      </c>
      <c r="L179" s="69">
        <f>SUM(L180)</f>
        <v>0</v>
      </c>
      <c r="M179" s="21">
        <f t="shared" si="37"/>
        <v>0</v>
      </c>
    </row>
    <row r="180" spans="1:15" ht="77.25" customHeight="1">
      <c r="A180" s="22" t="s">
        <v>29</v>
      </c>
      <c r="B180" s="23">
        <v>604</v>
      </c>
      <c r="C180" s="24" t="s">
        <v>187</v>
      </c>
      <c r="D180" s="24" t="s">
        <v>46</v>
      </c>
      <c r="E180" s="24" t="s">
        <v>191</v>
      </c>
      <c r="F180" s="24" t="s">
        <v>30</v>
      </c>
      <c r="G180" s="20">
        <v>7907.3</v>
      </c>
      <c r="H180" s="20">
        <v>0</v>
      </c>
      <c r="I180" s="20">
        <v>0</v>
      </c>
      <c r="J180" s="20">
        <f>-2000</f>
        <v>-2000</v>
      </c>
      <c r="K180" s="20">
        <v>48.47</v>
      </c>
      <c r="L180" s="69">
        <v>0</v>
      </c>
      <c r="M180" s="21">
        <f t="shared" si="37"/>
        <v>0</v>
      </c>
    </row>
    <row r="181" spans="1:15" ht="19.5" customHeight="1">
      <c r="A181" s="22" t="s">
        <v>192</v>
      </c>
      <c r="B181" s="23">
        <v>604</v>
      </c>
      <c r="C181" s="24" t="s">
        <v>74</v>
      </c>
      <c r="D181" s="24" t="s">
        <v>18</v>
      </c>
      <c r="E181" s="24" t="s">
        <v>18</v>
      </c>
      <c r="F181" s="24" t="s">
        <v>18</v>
      </c>
      <c r="G181" s="20">
        <f>G182</f>
        <v>1500</v>
      </c>
      <c r="H181" s="20">
        <f t="shared" ref="H181:I184" si="45">H182</f>
        <v>1500</v>
      </c>
      <c r="I181" s="20">
        <f t="shared" si="45"/>
        <v>1500</v>
      </c>
      <c r="J181" s="20">
        <f t="shared" ref="J181:K184" si="46">J182</f>
        <v>-547</v>
      </c>
      <c r="K181" s="20">
        <f t="shared" si="46"/>
        <v>485.8</v>
      </c>
      <c r="L181" s="69">
        <f>SUM(L182)</f>
        <v>471.15</v>
      </c>
      <c r="M181" s="21">
        <f t="shared" si="37"/>
        <v>96.984355701934945</v>
      </c>
    </row>
    <row r="182" spans="1:15" ht="36" customHeight="1">
      <c r="A182" s="22" t="s">
        <v>193</v>
      </c>
      <c r="B182" s="23">
        <v>604</v>
      </c>
      <c r="C182" s="24" t="s">
        <v>74</v>
      </c>
      <c r="D182" s="24" t="s">
        <v>20</v>
      </c>
      <c r="E182" s="24" t="s">
        <v>18</v>
      </c>
      <c r="F182" s="24" t="s">
        <v>18</v>
      </c>
      <c r="G182" s="20">
        <f>G183</f>
        <v>1500</v>
      </c>
      <c r="H182" s="20">
        <f t="shared" si="45"/>
        <v>1500</v>
      </c>
      <c r="I182" s="20">
        <f t="shared" si="45"/>
        <v>1500</v>
      </c>
      <c r="J182" s="20">
        <f t="shared" si="46"/>
        <v>-547</v>
      </c>
      <c r="K182" s="20">
        <f t="shared" si="46"/>
        <v>485.8</v>
      </c>
      <c r="L182" s="69">
        <f>SUM(L183)</f>
        <v>471.15</v>
      </c>
      <c r="M182" s="21">
        <f t="shared" si="37"/>
        <v>96.984355701934945</v>
      </c>
    </row>
    <row r="183" spans="1:15" ht="18" customHeight="1">
      <c r="A183" s="22" t="s">
        <v>194</v>
      </c>
      <c r="B183" s="23">
        <v>604</v>
      </c>
      <c r="C183" s="24" t="s">
        <v>74</v>
      </c>
      <c r="D183" s="24" t="s">
        <v>20</v>
      </c>
      <c r="E183" s="24" t="s">
        <v>195</v>
      </c>
      <c r="F183" s="24" t="s">
        <v>18</v>
      </c>
      <c r="G183" s="20">
        <f>G184</f>
        <v>1500</v>
      </c>
      <c r="H183" s="20">
        <f t="shared" si="45"/>
        <v>1500</v>
      </c>
      <c r="I183" s="20">
        <f t="shared" si="45"/>
        <v>1500</v>
      </c>
      <c r="J183" s="20">
        <f t="shared" si="46"/>
        <v>-547</v>
      </c>
      <c r="K183" s="20">
        <f t="shared" si="46"/>
        <v>485.8</v>
      </c>
      <c r="L183" s="69">
        <f>SUM(L184)</f>
        <v>471.15</v>
      </c>
      <c r="M183" s="21">
        <f t="shared" si="37"/>
        <v>96.984355701934945</v>
      </c>
    </row>
    <row r="184" spans="1:15" ht="19.5" customHeight="1">
      <c r="A184" s="22" t="s">
        <v>196</v>
      </c>
      <c r="B184" s="23">
        <v>604</v>
      </c>
      <c r="C184" s="24" t="s">
        <v>74</v>
      </c>
      <c r="D184" s="24" t="s">
        <v>20</v>
      </c>
      <c r="E184" s="24" t="s">
        <v>197</v>
      </c>
      <c r="F184" s="24" t="s">
        <v>18</v>
      </c>
      <c r="G184" s="20">
        <f>G185</f>
        <v>1500</v>
      </c>
      <c r="H184" s="20">
        <f t="shared" si="45"/>
        <v>1500</v>
      </c>
      <c r="I184" s="20">
        <f t="shared" si="45"/>
        <v>1500</v>
      </c>
      <c r="J184" s="20">
        <f t="shared" si="46"/>
        <v>-547</v>
      </c>
      <c r="K184" s="20">
        <f t="shared" si="46"/>
        <v>485.8</v>
      </c>
      <c r="L184" s="69">
        <f>SUM(L185)</f>
        <v>471.15</v>
      </c>
      <c r="M184" s="21">
        <f t="shared" si="37"/>
        <v>96.984355701934945</v>
      </c>
    </row>
    <row r="185" spans="1:15" ht="18.75" customHeight="1">
      <c r="A185" s="22" t="s">
        <v>198</v>
      </c>
      <c r="B185" s="23">
        <v>604</v>
      </c>
      <c r="C185" s="24" t="s">
        <v>74</v>
      </c>
      <c r="D185" s="24" t="s">
        <v>20</v>
      </c>
      <c r="E185" s="24" t="s">
        <v>197</v>
      </c>
      <c r="F185" s="24" t="s">
        <v>199</v>
      </c>
      <c r="G185" s="20">
        <v>1500</v>
      </c>
      <c r="H185" s="20">
        <v>1500</v>
      </c>
      <c r="I185" s="20">
        <v>1500</v>
      </c>
      <c r="J185" s="20">
        <f>-547</f>
        <v>-547</v>
      </c>
      <c r="K185" s="20">
        <v>485.8</v>
      </c>
      <c r="L185" s="69">
        <v>471.15</v>
      </c>
      <c r="M185" s="21">
        <f t="shared" si="37"/>
        <v>96.984355701934945</v>
      </c>
    </row>
    <row r="186" spans="1:15" ht="18" customHeight="1">
      <c r="A186" s="22"/>
      <c r="B186" s="23"/>
      <c r="C186" s="24"/>
      <c r="D186" s="24"/>
      <c r="E186" s="24"/>
      <c r="F186" s="24"/>
      <c r="G186" s="20"/>
      <c r="H186" s="20"/>
      <c r="I186" s="20"/>
      <c r="J186" s="20"/>
      <c r="K186" s="20"/>
      <c r="L186" s="69"/>
      <c r="M186" s="21"/>
    </row>
    <row r="187" spans="1:15" ht="40.5" customHeight="1">
      <c r="A187" s="1" t="s">
        <v>200</v>
      </c>
      <c r="B187" s="2">
        <v>606</v>
      </c>
      <c r="C187" s="18" t="s">
        <v>18</v>
      </c>
      <c r="D187" s="18" t="s">
        <v>18</v>
      </c>
      <c r="E187" s="18" t="s">
        <v>18</v>
      </c>
      <c r="F187" s="18" t="s">
        <v>18</v>
      </c>
      <c r="G187" s="19">
        <f>G188+G274</f>
        <v>518925.21</v>
      </c>
      <c r="H187" s="19" t="e">
        <f>H188+H274</f>
        <v>#REF!</v>
      </c>
      <c r="I187" s="19" t="e">
        <f>I188+I274</f>
        <v>#REF!</v>
      </c>
      <c r="J187" s="19">
        <f>J188+J274</f>
        <v>1172.1600000000001</v>
      </c>
      <c r="K187" s="26">
        <f>K188+K274</f>
        <v>568499.99</v>
      </c>
      <c r="L187" s="70">
        <f>SUM(L188+L274)</f>
        <v>553910.84000000008</v>
      </c>
      <c r="M187" s="21">
        <f t="shared" si="37"/>
        <v>97.433746656706205</v>
      </c>
      <c r="O187" s="63"/>
    </row>
    <row r="188" spans="1:15" ht="18" customHeight="1">
      <c r="A188" s="22" t="s">
        <v>186</v>
      </c>
      <c r="B188" s="23">
        <v>606</v>
      </c>
      <c r="C188" s="24" t="s">
        <v>187</v>
      </c>
      <c r="D188" s="24" t="s">
        <v>18</v>
      </c>
      <c r="E188" s="24" t="s">
        <v>18</v>
      </c>
      <c r="F188" s="24" t="s">
        <v>18</v>
      </c>
      <c r="G188" s="20">
        <f>G189+G210+G244+G258</f>
        <v>512708.51</v>
      </c>
      <c r="H188" s="20" t="e">
        <f>H189+H210+H244+H258</f>
        <v>#REF!</v>
      </c>
      <c r="I188" s="20" t="e">
        <f>I189+I210+I244+I258</f>
        <v>#REF!</v>
      </c>
      <c r="J188" s="20">
        <f>J189+J210+J244+J258</f>
        <v>1172.1600000000001</v>
      </c>
      <c r="K188" s="26">
        <f>K189+K210+K244+K258</f>
        <v>559179.14</v>
      </c>
      <c r="L188" s="69">
        <f>SUM(L189+L210+L244+L258)</f>
        <v>544598.20000000007</v>
      </c>
      <c r="M188" s="21">
        <f t="shared" si="37"/>
        <v>97.392438494755012</v>
      </c>
    </row>
    <row r="189" spans="1:15" ht="18.75" customHeight="1">
      <c r="A189" s="22" t="s">
        <v>201</v>
      </c>
      <c r="B189" s="23">
        <v>606</v>
      </c>
      <c r="C189" s="24" t="s">
        <v>187</v>
      </c>
      <c r="D189" s="24" t="s">
        <v>20</v>
      </c>
      <c r="E189" s="24" t="s">
        <v>18</v>
      </c>
      <c r="F189" s="24" t="s">
        <v>18</v>
      </c>
      <c r="G189" s="20">
        <f t="shared" ref="G189:J190" si="47">G190</f>
        <v>218691.4</v>
      </c>
      <c r="H189" s="20" t="e">
        <f t="shared" si="47"/>
        <v>#REF!</v>
      </c>
      <c r="I189" s="20" t="e">
        <f t="shared" si="47"/>
        <v>#REF!</v>
      </c>
      <c r="J189" s="20">
        <f t="shared" si="47"/>
        <v>-1736.1</v>
      </c>
      <c r="K189" s="26">
        <f>K190</f>
        <v>241848.36</v>
      </c>
      <c r="L189" s="69">
        <f>L190</f>
        <v>232805.36000000002</v>
      </c>
      <c r="M189" s="21">
        <f t="shared" si="37"/>
        <v>96.260880164744563</v>
      </c>
    </row>
    <row r="190" spans="1:15" ht="40.5" customHeight="1">
      <c r="A190" s="30" t="s">
        <v>202</v>
      </c>
      <c r="B190" s="23">
        <v>606</v>
      </c>
      <c r="C190" s="24" t="s">
        <v>187</v>
      </c>
      <c r="D190" s="24" t="s">
        <v>20</v>
      </c>
      <c r="E190" s="24" t="s">
        <v>203</v>
      </c>
      <c r="F190" s="24" t="s">
        <v>18</v>
      </c>
      <c r="G190" s="20">
        <f t="shared" si="47"/>
        <v>218691.4</v>
      </c>
      <c r="H190" s="20" t="e">
        <f t="shared" si="47"/>
        <v>#REF!</v>
      </c>
      <c r="I190" s="20" t="e">
        <f t="shared" si="47"/>
        <v>#REF!</v>
      </c>
      <c r="J190" s="20">
        <f t="shared" si="47"/>
        <v>-1736.1</v>
      </c>
      <c r="K190" s="26">
        <f>K191</f>
        <v>241848.36</v>
      </c>
      <c r="L190" s="69">
        <f>L191</f>
        <v>232805.36000000002</v>
      </c>
      <c r="M190" s="21">
        <f t="shared" si="37"/>
        <v>96.260880164744563</v>
      </c>
    </row>
    <row r="191" spans="1:15" ht="40.5" customHeight="1">
      <c r="A191" s="22" t="s">
        <v>204</v>
      </c>
      <c r="B191" s="23">
        <v>606</v>
      </c>
      <c r="C191" s="24" t="s">
        <v>187</v>
      </c>
      <c r="D191" s="24" t="s">
        <v>20</v>
      </c>
      <c r="E191" s="24" t="s">
        <v>205</v>
      </c>
      <c r="F191" s="24" t="s">
        <v>18</v>
      </c>
      <c r="G191" s="20">
        <f>G192+G196+G198+G200+G202+G204</f>
        <v>218691.4</v>
      </c>
      <c r="H191" s="20" t="e">
        <f>H192+H196+H198+H200+H202+H204</f>
        <v>#REF!</v>
      </c>
      <c r="I191" s="20" t="e">
        <f>I192+I196+I198+I200+I202+I204</f>
        <v>#REF!</v>
      </c>
      <c r="J191" s="20">
        <f>J192+J196+J198+J200+J202+J204</f>
        <v>-1736.1</v>
      </c>
      <c r="K191" s="26">
        <f>K192+K196+K198+K202+K204+K208</f>
        <v>241848.36</v>
      </c>
      <c r="L191" s="69">
        <f>L192+L196+L198+L202+L204+L208</f>
        <v>232805.36000000002</v>
      </c>
      <c r="M191" s="21">
        <f t="shared" si="37"/>
        <v>96.260880164744563</v>
      </c>
    </row>
    <row r="192" spans="1:15" ht="38.25" customHeight="1">
      <c r="A192" s="22" t="s">
        <v>206</v>
      </c>
      <c r="B192" s="23">
        <v>606</v>
      </c>
      <c r="C192" s="32" t="s">
        <v>187</v>
      </c>
      <c r="D192" s="24" t="s">
        <v>20</v>
      </c>
      <c r="E192" s="24" t="s">
        <v>207</v>
      </c>
      <c r="F192" s="24" t="s">
        <v>18</v>
      </c>
      <c r="G192" s="20">
        <f t="shared" ref="G192:L192" si="48">G193+G194+G195</f>
        <v>120573.45</v>
      </c>
      <c r="H192" s="20" t="e">
        <f t="shared" si="48"/>
        <v>#REF!</v>
      </c>
      <c r="I192" s="20" t="e">
        <f t="shared" si="48"/>
        <v>#REF!</v>
      </c>
      <c r="J192" s="20">
        <f t="shared" si="48"/>
        <v>113.9</v>
      </c>
      <c r="K192" s="20">
        <f t="shared" si="48"/>
        <v>127519.51</v>
      </c>
      <c r="L192" s="69">
        <f t="shared" si="48"/>
        <v>119411.45</v>
      </c>
      <c r="M192" s="21">
        <f t="shared" si="37"/>
        <v>93.641710197914023</v>
      </c>
    </row>
    <row r="193" spans="1:13" ht="75.75" customHeight="1">
      <c r="A193" s="22" t="s">
        <v>29</v>
      </c>
      <c r="B193" s="23">
        <v>606</v>
      </c>
      <c r="C193" s="32" t="s">
        <v>187</v>
      </c>
      <c r="D193" s="24" t="s">
        <v>20</v>
      </c>
      <c r="E193" s="24" t="s">
        <v>207</v>
      </c>
      <c r="F193" s="24" t="s">
        <v>30</v>
      </c>
      <c r="G193" s="20">
        <v>50946.92</v>
      </c>
      <c r="H193" s="20">
        <v>50946.92</v>
      </c>
      <c r="I193" s="20">
        <v>50946.92</v>
      </c>
      <c r="J193" s="20"/>
      <c r="K193" s="20">
        <v>52315.99</v>
      </c>
      <c r="L193" s="70">
        <v>48430.21</v>
      </c>
      <c r="M193" s="21">
        <f t="shared" si="37"/>
        <v>92.572481185962459</v>
      </c>
    </row>
    <row r="194" spans="1:13" ht="39.75" customHeight="1">
      <c r="A194" s="22" t="s">
        <v>31</v>
      </c>
      <c r="B194" s="23">
        <v>606</v>
      </c>
      <c r="C194" s="32" t="s">
        <v>187</v>
      </c>
      <c r="D194" s="24" t="s">
        <v>20</v>
      </c>
      <c r="E194" s="24" t="s">
        <v>207</v>
      </c>
      <c r="F194" s="24" t="s">
        <v>32</v>
      </c>
      <c r="G194" s="20">
        <f>66904.65-0.01</f>
        <v>66904.639999999999</v>
      </c>
      <c r="H194" s="20" t="e">
        <f>71326.52-#REF!-19.17</f>
        <v>#REF!</v>
      </c>
      <c r="I194" s="20" t="e">
        <f>73491.96-#REF!-71.28</f>
        <v>#REF!</v>
      </c>
      <c r="J194" s="20">
        <f>200+13.9-100</f>
        <v>113.9</v>
      </c>
      <c r="K194" s="20">
        <v>72399.13</v>
      </c>
      <c r="L194" s="69">
        <v>68185.03</v>
      </c>
      <c r="M194" s="21">
        <f t="shared" si="37"/>
        <v>94.17934994522723</v>
      </c>
    </row>
    <row r="195" spans="1:13" ht="19.149999999999999" customHeight="1">
      <c r="A195" s="22" t="s">
        <v>33</v>
      </c>
      <c r="B195" s="23">
        <v>606</v>
      </c>
      <c r="C195" s="32" t="s">
        <v>187</v>
      </c>
      <c r="D195" s="24" t="s">
        <v>20</v>
      </c>
      <c r="E195" s="24" t="s">
        <v>207</v>
      </c>
      <c r="F195" s="24" t="s">
        <v>34</v>
      </c>
      <c r="G195" s="20">
        <v>2721.89</v>
      </c>
      <c r="H195" s="20">
        <v>2721.89</v>
      </c>
      <c r="I195" s="20">
        <v>2721.89</v>
      </c>
      <c r="J195" s="20"/>
      <c r="K195" s="20">
        <v>2804.39</v>
      </c>
      <c r="L195" s="69">
        <v>2796.21</v>
      </c>
      <c r="M195" s="21">
        <f t="shared" si="37"/>
        <v>99.708314464108057</v>
      </c>
    </row>
    <row r="196" spans="1:13" ht="18.600000000000001" customHeight="1">
      <c r="A196" s="22" t="s">
        <v>208</v>
      </c>
      <c r="B196" s="23">
        <v>606</v>
      </c>
      <c r="C196" s="32" t="s">
        <v>187</v>
      </c>
      <c r="D196" s="24" t="s">
        <v>20</v>
      </c>
      <c r="E196" s="24" t="s">
        <v>209</v>
      </c>
      <c r="F196" s="24" t="s">
        <v>18</v>
      </c>
      <c r="G196" s="20">
        <f>G197</f>
        <v>0</v>
      </c>
      <c r="H196" s="20">
        <f>H197</f>
        <v>529</v>
      </c>
      <c r="I196" s="20">
        <f>I197</f>
        <v>529</v>
      </c>
      <c r="J196" s="20">
        <f>J197</f>
        <v>1000</v>
      </c>
      <c r="K196" s="20">
        <f>K197</f>
        <v>2750</v>
      </c>
      <c r="L196" s="69">
        <f>SUM(L197)</f>
        <v>2750</v>
      </c>
      <c r="M196" s="21">
        <f t="shared" si="37"/>
        <v>100</v>
      </c>
    </row>
    <row r="197" spans="1:13" ht="36.6" customHeight="1">
      <c r="A197" s="22" t="s">
        <v>31</v>
      </c>
      <c r="B197" s="23">
        <v>606</v>
      </c>
      <c r="C197" s="32" t="s">
        <v>187</v>
      </c>
      <c r="D197" s="24" t="s">
        <v>20</v>
      </c>
      <c r="E197" s="24" t="s">
        <v>209</v>
      </c>
      <c r="F197" s="24" t="s">
        <v>32</v>
      </c>
      <c r="G197" s="20"/>
      <c r="H197" s="20">
        <f>529</f>
        <v>529</v>
      </c>
      <c r="I197" s="20">
        <v>529</v>
      </c>
      <c r="J197" s="20">
        <f>1000</f>
        <v>1000</v>
      </c>
      <c r="K197" s="20">
        <v>2750</v>
      </c>
      <c r="L197" s="69">
        <v>2750</v>
      </c>
      <c r="M197" s="21">
        <f t="shared" si="37"/>
        <v>100</v>
      </c>
    </row>
    <row r="198" spans="1:13" ht="37.9" customHeight="1">
      <c r="A198" s="22" t="s">
        <v>210</v>
      </c>
      <c r="B198" s="23">
        <v>606</v>
      </c>
      <c r="C198" s="32" t="s">
        <v>187</v>
      </c>
      <c r="D198" s="24" t="s">
        <v>20</v>
      </c>
      <c r="E198" s="24" t="s">
        <v>211</v>
      </c>
      <c r="F198" s="24" t="s">
        <v>18</v>
      </c>
      <c r="G198" s="20">
        <f>G199</f>
        <v>259</v>
      </c>
      <c r="H198" s="20">
        <f>H199</f>
        <v>529</v>
      </c>
      <c r="I198" s="20">
        <f>I199</f>
        <v>529</v>
      </c>
      <c r="J198" s="20">
        <f>J199</f>
        <v>0</v>
      </c>
      <c r="K198" s="20">
        <f>K199</f>
        <v>305.58</v>
      </c>
      <c r="L198" s="69">
        <f>SUM(L199)</f>
        <v>305.57</v>
      </c>
      <c r="M198" s="21">
        <f t="shared" si="37"/>
        <v>99.99672753452451</v>
      </c>
    </row>
    <row r="199" spans="1:13" ht="35.25" customHeight="1">
      <c r="A199" s="22" t="s">
        <v>31</v>
      </c>
      <c r="B199" s="23">
        <v>606</v>
      </c>
      <c r="C199" s="32" t="s">
        <v>187</v>
      </c>
      <c r="D199" s="24" t="s">
        <v>20</v>
      </c>
      <c r="E199" s="24" t="s">
        <v>211</v>
      </c>
      <c r="F199" s="24" t="s">
        <v>32</v>
      </c>
      <c r="G199" s="20">
        <f>528.99-269.99</f>
        <v>259</v>
      </c>
      <c r="H199" s="20">
        <f>529</f>
        <v>529</v>
      </c>
      <c r="I199" s="20">
        <v>529</v>
      </c>
      <c r="J199" s="20"/>
      <c r="K199" s="20">
        <v>305.58</v>
      </c>
      <c r="L199" s="69">
        <v>305.57</v>
      </c>
      <c r="M199" s="21">
        <f t="shared" si="37"/>
        <v>99.99672753452451</v>
      </c>
    </row>
    <row r="200" spans="1:13" hidden="1">
      <c r="A200" s="22" t="s">
        <v>212</v>
      </c>
      <c r="B200" s="23">
        <v>606</v>
      </c>
      <c r="C200" s="32" t="s">
        <v>187</v>
      </c>
      <c r="D200" s="24" t="s">
        <v>20</v>
      </c>
      <c r="E200" s="24" t="s">
        <v>213</v>
      </c>
      <c r="F200" s="24" t="s">
        <v>18</v>
      </c>
      <c r="G200" s="20">
        <f>G201</f>
        <v>2850</v>
      </c>
      <c r="H200" s="20">
        <f>H201</f>
        <v>2850</v>
      </c>
      <c r="I200" s="20">
        <f>I201</f>
        <v>2850</v>
      </c>
      <c r="J200" s="20">
        <f>J201</f>
        <v>-2850</v>
      </c>
      <c r="K200" s="20">
        <f>G200+J200</f>
        <v>0</v>
      </c>
      <c r="L200" s="69">
        <v>0</v>
      </c>
      <c r="M200" s="21">
        <v>0</v>
      </c>
    </row>
    <row r="201" spans="1:13" ht="38.25" hidden="1" customHeight="1">
      <c r="A201" s="22" t="s">
        <v>105</v>
      </c>
      <c r="B201" s="23">
        <v>606</v>
      </c>
      <c r="C201" s="32" t="s">
        <v>187</v>
      </c>
      <c r="D201" s="24" t="s">
        <v>20</v>
      </c>
      <c r="E201" s="24" t="s">
        <v>213</v>
      </c>
      <c r="F201" s="24" t="s">
        <v>106</v>
      </c>
      <c r="G201" s="20">
        <v>2850</v>
      </c>
      <c r="H201" s="20">
        <v>2850</v>
      </c>
      <c r="I201" s="20">
        <v>2850</v>
      </c>
      <c r="J201" s="20">
        <f>-2850</f>
        <v>-2850</v>
      </c>
      <c r="K201" s="20">
        <f>G201+J201</f>
        <v>0</v>
      </c>
      <c r="L201" s="69">
        <v>0</v>
      </c>
      <c r="M201" s="21">
        <v>0</v>
      </c>
    </row>
    <row r="202" spans="1:13" ht="18" customHeight="1">
      <c r="A202" s="22" t="s">
        <v>214</v>
      </c>
      <c r="B202" s="23">
        <v>606</v>
      </c>
      <c r="C202" s="32" t="s">
        <v>187</v>
      </c>
      <c r="D202" s="24" t="s">
        <v>20</v>
      </c>
      <c r="E202" s="24" t="s">
        <v>215</v>
      </c>
      <c r="F202" s="24" t="s">
        <v>18</v>
      </c>
      <c r="G202" s="20">
        <f t="shared" ref="G202:L202" si="49">G203</f>
        <v>174.44</v>
      </c>
      <c r="H202" s="20">
        <f t="shared" si="49"/>
        <v>183.17</v>
      </c>
      <c r="I202" s="20">
        <f t="shared" si="49"/>
        <v>183.17</v>
      </c>
      <c r="J202" s="20">
        <f t="shared" si="49"/>
        <v>0</v>
      </c>
      <c r="K202" s="20">
        <f t="shared" si="49"/>
        <v>128.97</v>
      </c>
      <c r="L202" s="69">
        <f t="shared" si="49"/>
        <v>118.67</v>
      </c>
      <c r="M202" s="21">
        <f t="shared" si="37"/>
        <v>92.013646584477016</v>
      </c>
    </row>
    <row r="203" spans="1:13" ht="77.25" customHeight="1">
      <c r="A203" s="22" t="s">
        <v>29</v>
      </c>
      <c r="B203" s="23">
        <v>606</v>
      </c>
      <c r="C203" s="32" t="s">
        <v>187</v>
      </c>
      <c r="D203" s="24" t="s">
        <v>20</v>
      </c>
      <c r="E203" s="24" t="s">
        <v>215</v>
      </c>
      <c r="F203" s="24" t="s">
        <v>30</v>
      </c>
      <c r="G203" s="20">
        <v>174.44</v>
      </c>
      <c r="H203" s="20">
        <v>183.17</v>
      </c>
      <c r="I203" s="20">
        <v>183.17</v>
      </c>
      <c r="J203" s="20"/>
      <c r="K203" s="20">
        <v>128.97</v>
      </c>
      <c r="L203" s="69">
        <v>118.67</v>
      </c>
      <c r="M203" s="21">
        <f t="shared" si="37"/>
        <v>92.013646584477016</v>
      </c>
    </row>
    <row r="204" spans="1:13" ht="77.25" customHeight="1">
      <c r="A204" s="39" t="s">
        <v>216</v>
      </c>
      <c r="B204" s="23">
        <v>606</v>
      </c>
      <c r="C204" s="32" t="s">
        <v>187</v>
      </c>
      <c r="D204" s="24" t="s">
        <v>20</v>
      </c>
      <c r="E204" s="24" t="s">
        <v>217</v>
      </c>
      <c r="F204" s="24" t="s">
        <v>18</v>
      </c>
      <c r="G204" s="20">
        <f>G205+G206</f>
        <v>94834.51</v>
      </c>
      <c r="H204" s="20">
        <f>H205+H206</f>
        <v>99209.14</v>
      </c>
      <c r="I204" s="20">
        <f>I205+I206</f>
        <v>114770.54</v>
      </c>
      <c r="J204" s="20">
        <f>J205+J206</f>
        <v>0</v>
      </c>
      <c r="K204" s="20">
        <f>K205+K207</f>
        <v>106085.15</v>
      </c>
      <c r="L204" s="69">
        <f>L205+L207</f>
        <v>105160.52</v>
      </c>
      <c r="M204" s="21">
        <f t="shared" si="37"/>
        <v>99.128407698909797</v>
      </c>
    </row>
    <row r="205" spans="1:13" ht="56.25" customHeight="1">
      <c r="A205" s="22" t="s">
        <v>29</v>
      </c>
      <c r="B205" s="23">
        <v>606</v>
      </c>
      <c r="C205" s="32" t="s">
        <v>187</v>
      </c>
      <c r="D205" s="24" t="s">
        <v>20</v>
      </c>
      <c r="E205" s="24" t="s">
        <v>217</v>
      </c>
      <c r="F205" s="24" t="s">
        <v>30</v>
      </c>
      <c r="G205" s="20">
        <v>90571.78</v>
      </c>
      <c r="H205" s="20">
        <v>94946.41</v>
      </c>
      <c r="I205" s="20">
        <v>110507.81</v>
      </c>
      <c r="J205" s="20">
        <f>4262.73</f>
        <v>4262.7299999999996</v>
      </c>
      <c r="K205" s="20">
        <v>104801.51</v>
      </c>
      <c r="L205" s="69">
        <v>103877.86</v>
      </c>
      <c r="M205" s="21">
        <f t="shared" si="37"/>
        <v>99.118667278744368</v>
      </c>
    </row>
    <row r="206" spans="1:13" ht="39.75" hidden="1" customHeight="1">
      <c r="A206" s="22" t="s">
        <v>105</v>
      </c>
      <c r="B206" s="23">
        <v>606</v>
      </c>
      <c r="C206" s="32" t="s">
        <v>187</v>
      </c>
      <c r="D206" s="24" t="s">
        <v>20</v>
      </c>
      <c r="E206" s="24" t="s">
        <v>217</v>
      </c>
      <c r="F206" s="24" t="s">
        <v>106</v>
      </c>
      <c r="G206" s="20">
        <v>4262.7299999999996</v>
      </c>
      <c r="H206" s="20">
        <v>4262.7299999999996</v>
      </c>
      <c r="I206" s="20">
        <v>4262.7299999999996</v>
      </c>
      <c r="J206" s="20">
        <f>-4262.73</f>
        <v>-4262.7299999999996</v>
      </c>
      <c r="K206" s="20">
        <f>G206+J206</f>
        <v>0</v>
      </c>
      <c r="L206" s="69">
        <v>0</v>
      </c>
      <c r="M206" s="21" t="e">
        <f t="shared" si="37"/>
        <v>#DIV/0!</v>
      </c>
    </row>
    <row r="207" spans="1:13" ht="39.75" customHeight="1">
      <c r="A207" s="22" t="s">
        <v>31</v>
      </c>
      <c r="B207" s="23">
        <v>606</v>
      </c>
      <c r="C207" s="32" t="s">
        <v>187</v>
      </c>
      <c r="D207" s="24" t="s">
        <v>20</v>
      </c>
      <c r="E207" s="24" t="s">
        <v>217</v>
      </c>
      <c r="F207" s="24" t="s">
        <v>32</v>
      </c>
      <c r="G207" s="20"/>
      <c r="H207" s="20"/>
      <c r="I207" s="20"/>
      <c r="J207" s="20"/>
      <c r="K207" s="20">
        <v>1283.6400000000001</v>
      </c>
      <c r="L207" s="69">
        <v>1282.6600000000001</v>
      </c>
      <c r="M207" s="21">
        <f t="shared" si="37"/>
        <v>99.92365460721075</v>
      </c>
    </row>
    <row r="208" spans="1:13" ht="55.5" customHeight="1">
      <c r="A208" s="55" t="s">
        <v>445</v>
      </c>
      <c r="B208" s="23">
        <v>606</v>
      </c>
      <c r="C208" s="32" t="s">
        <v>187</v>
      </c>
      <c r="D208" s="24" t="s">
        <v>20</v>
      </c>
      <c r="E208" s="24" t="s">
        <v>446</v>
      </c>
      <c r="F208" s="24" t="s">
        <v>18</v>
      </c>
      <c r="G208" s="20"/>
      <c r="H208" s="20"/>
      <c r="I208" s="20"/>
      <c r="J208" s="20"/>
      <c r="K208" s="20">
        <f>K209</f>
        <v>5059.1499999999996</v>
      </c>
      <c r="L208" s="69">
        <f>L209</f>
        <v>5059.1499999999996</v>
      </c>
      <c r="M208" s="21">
        <f t="shared" si="37"/>
        <v>100</v>
      </c>
    </row>
    <row r="209" spans="1:13" ht="37.5" customHeight="1">
      <c r="A209" s="55" t="s">
        <v>31</v>
      </c>
      <c r="B209" s="23">
        <v>606</v>
      </c>
      <c r="C209" s="32" t="s">
        <v>187</v>
      </c>
      <c r="D209" s="24" t="s">
        <v>20</v>
      </c>
      <c r="E209" s="24" t="s">
        <v>446</v>
      </c>
      <c r="F209" s="24" t="s">
        <v>32</v>
      </c>
      <c r="G209" s="20"/>
      <c r="H209" s="20"/>
      <c r="I209" s="20"/>
      <c r="J209" s="20"/>
      <c r="K209" s="20">
        <v>5059.1499999999996</v>
      </c>
      <c r="L209" s="69">
        <v>5059.1499999999996</v>
      </c>
      <c r="M209" s="21">
        <f t="shared" si="37"/>
        <v>100</v>
      </c>
    </row>
    <row r="210" spans="1:13" ht="18.75" customHeight="1">
      <c r="A210" s="22" t="s">
        <v>188</v>
      </c>
      <c r="B210" s="23">
        <v>606</v>
      </c>
      <c r="C210" s="24" t="s">
        <v>187</v>
      </c>
      <c r="D210" s="24" t="s">
        <v>46</v>
      </c>
      <c r="E210" s="24" t="s">
        <v>18</v>
      </c>
      <c r="F210" s="24" t="s">
        <v>18</v>
      </c>
      <c r="G210" s="20">
        <f t="shared" ref="G210:J211" si="50">G211</f>
        <v>261338.81000000003</v>
      </c>
      <c r="H210" s="20">
        <f t="shared" si="50"/>
        <v>291273.91000000003</v>
      </c>
      <c r="I210" s="20">
        <f t="shared" si="50"/>
        <v>313491.26</v>
      </c>
      <c r="J210" s="20">
        <f t="shared" si="50"/>
        <v>2364.5</v>
      </c>
      <c r="K210" s="20">
        <f>K211</f>
        <v>283585.08</v>
      </c>
      <c r="L210" s="69">
        <f>SUM(L211)</f>
        <v>279196.56</v>
      </c>
      <c r="M210" s="21">
        <f t="shared" si="37"/>
        <v>98.452485582104671</v>
      </c>
    </row>
    <row r="211" spans="1:13" ht="37.5" customHeight="1">
      <c r="A211" s="30" t="s">
        <v>202</v>
      </c>
      <c r="B211" s="23">
        <v>606</v>
      </c>
      <c r="C211" s="24" t="s">
        <v>187</v>
      </c>
      <c r="D211" s="24" t="s">
        <v>46</v>
      </c>
      <c r="E211" s="24" t="s">
        <v>203</v>
      </c>
      <c r="F211" s="24" t="s">
        <v>18</v>
      </c>
      <c r="G211" s="20">
        <f t="shared" si="50"/>
        <v>261338.81000000003</v>
      </c>
      <c r="H211" s="20">
        <f t="shared" si="50"/>
        <v>291273.91000000003</v>
      </c>
      <c r="I211" s="20">
        <f t="shared" si="50"/>
        <v>313491.26</v>
      </c>
      <c r="J211" s="20">
        <f t="shared" si="50"/>
        <v>2364.5</v>
      </c>
      <c r="K211" s="20">
        <f>K212</f>
        <v>283585.08</v>
      </c>
      <c r="L211" s="20">
        <f>L212</f>
        <v>279196.56</v>
      </c>
      <c r="M211" s="21">
        <f t="shared" si="37"/>
        <v>98.452485582104671</v>
      </c>
    </row>
    <row r="212" spans="1:13" ht="37.15" customHeight="1">
      <c r="A212" s="22" t="s">
        <v>204</v>
      </c>
      <c r="B212" s="23">
        <v>606</v>
      </c>
      <c r="C212" s="24" t="s">
        <v>187</v>
      </c>
      <c r="D212" s="24" t="s">
        <v>46</v>
      </c>
      <c r="E212" s="24" t="s">
        <v>205</v>
      </c>
      <c r="F212" s="24" t="s">
        <v>18</v>
      </c>
      <c r="G212" s="20">
        <f>G213+G218+G222+G226+G230+G232+G235</f>
        <v>261338.81000000003</v>
      </c>
      <c r="H212" s="20">
        <f>H213+H218+H222+H226+H230+H232+H235</f>
        <v>291273.91000000003</v>
      </c>
      <c r="I212" s="20">
        <f>I213+I218+I222+I226+I230+I232+I235</f>
        <v>313491.26</v>
      </c>
      <c r="J212" s="20">
        <f>J213+J218+J222+J226+J230+J232+J235</f>
        <v>2364.5</v>
      </c>
      <c r="K212" s="20">
        <f>K213+K218+K222+K226+K230+K232+K235+K239+K242</f>
        <v>283585.08</v>
      </c>
      <c r="L212" s="20">
        <f>L213+L218+L222+L226+L230+L232+L235+L239+L242</f>
        <v>279196.56</v>
      </c>
      <c r="M212" s="21">
        <f t="shared" si="37"/>
        <v>98.452485582104671</v>
      </c>
    </row>
    <row r="213" spans="1:13" ht="39" customHeight="1">
      <c r="A213" s="22" t="s">
        <v>218</v>
      </c>
      <c r="B213" s="23">
        <v>606</v>
      </c>
      <c r="C213" s="24" t="s">
        <v>187</v>
      </c>
      <c r="D213" s="24" t="s">
        <v>46</v>
      </c>
      <c r="E213" s="24" t="s">
        <v>219</v>
      </c>
      <c r="F213" s="24" t="s">
        <v>18</v>
      </c>
      <c r="G213" s="20">
        <f>G214+G215+G216+G217</f>
        <v>65913.48000000001</v>
      </c>
      <c r="H213" s="20">
        <f>H214+H215+H216+H217</f>
        <v>68802.149999999994</v>
      </c>
      <c r="I213" s="20">
        <f>I214+I215+I216+I217</f>
        <v>71337.7</v>
      </c>
      <c r="J213" s="20">
        <f>J214+J215+J216+J217</f>
        <v>764.5</v>
      </c>
      <c r="K213" s="20">
        <f>SUM(K214+K215+K216+K217)</f>
        <v>69738.36</v>
      </c>
      <c r="L213" s="70">
        <f>SUM(L214+L215+L216+L217)</f>
        <v>66266.149999999994</v>
      </c>
      <c r="M213" s="21">
        <f t="shared" ref="M213:M284" si="51">SUM(L213/K213*100)</f>
        <v>95.021090257929771</v>
      </c>
    </row>
    <row r="214" spans="1:13" ht="74.25" customHeight="1">
      <c r="A214" s="22" t="s">
        <v>29</v>
      </c>
      <c r="B214" s="23">
        <v>606</v>
      </c>
      <c r="C214" s="24" t="s">
        <v>187</v>
      </c>
      <c r="D214" s="24" t="s">
        <v>46</v>
      </c>
      <c r="E214" s="24" t="s">
        <v>219</v>
      </c>
      <c r="F214" s="24" t="s">
        <v>30</v>
      </c>
      <c r="G214" s="20">
        <v>10944.16</v>
      </c>
      <c r="H214" s="20">
        <v>10944.16</v>
      </c>
      <c r="I214" s="20">
        <v>10944.16</v>
      </c>
      <c r="J214" s="20"/>
      <c r="K214" s="20">
        <v>11073.65</v>
      </c>
      <c r="L214" s="69">
        <v>9638.07</v>
      </c>
      <c r="M214" s="21">
        <f t="shared" si="51"/>
        <v>87.03607211714295</v>
      </c>
    </row>
    <row r="215" spans="1:13" ht="35.25" customHeight="1">
      <c r="A215" s="22" t="s">
        <v>31</v>
      </c>
      <c r="B215" s="23">
        <v>606</v>
      </c>
      <c r="C215" s="32" t="s">
        <v>187</v>
      </c>
      <c r="D215" s="24" t="s">
        <v>46</v>
      </c>
      <c r="E215" s="24" t="s">
        <v>219</v>
      </c>
      <c r="F215" s="24" t="s">
        <v>32</v>
      </c>
      <c r="G215" s="20">
        <f>10825.78+269.75+29</f>
        <v>11124.53</v>
      </c>
      <c r="H215" s="20">
        <f>11824.74+230.63</f>
        <v>12055.369999999999</v>
      </c>
      <c r="I215" s="20">
        <f>12701.15+196.33</f>
        <v>12897.48</v>
      </c>
      <c r="J215" s="20">
        <f>645.7+59.4</f>
        <v>705.1</v>
      </c>
      <c r="K215" s="20">
        <v>13965.22</v>
      </c>
      <c r="L215" s="69">
        <v>12758.88</v>
      </c>
      <c r="M215" s="21">
        <f t="shared" si="51"/>
        <v>91.361826022074837</v>
      </c>
    </row>
    <row r="216" spans="1:13" ht="38.25" customHeight="1">
      <c r="A216" s="22" t="s">
        <v>105</v>
      </c>
      <c r="B216" s="23">
        <v>606</v>
      </c>
      <c r="C216" s="32" t="s">
        <v>187</v>
      </c>
      <c r="D216" s="24" t="s">
        <v>46</v>
      </c>
      <c r="E216" s="24" t="s">
        <v>219</v>
      </c>
      <c r="F216" s="24" t="s">
        <v>106</v>
      </c>
      <c r="G216" s="20">
        <f>41026.86-454.74</f>
        <v>40572.120000000003</v>
      </c>
      <c r="H216" s="20">
        <f>42858.59-328.64</f>
        <v>42529.95</v>
      </c>
      <c r="I216" s="20">
        <f>44465.63-242.24</f>
        <v>44223.39</v>
      </c>
      <c r="J216" s="20">
        <f>59.4</f>
        <v>59.4</v>
      </c>
      <c r="K216" s="20">
        <v>41404.36</v>
      </c>
      <c r="L216" s="69">
        <v>40578.35</v>
      </c>
      <c r="M216" s="21">
        <f t="shared" si="51"/>
        <v>98.005016862958399</v>
      </c>
    </row>
    <row r="217" spans="1:13" ht="19.5" customHeight="1">
      <c r="A217" s="22" t="s">
        <v>33</v>
      </c>
      <c r="B217" s="23">
        <v>606</v>
      </c>
      <c r="C217" s="32" t="s">
        <v>187</v>
      </c>
      <c r="D217" s="24" t="s">
        <v>46</v>
      </c>
      <c r="E217" s="24" t="s">
        <v>219</v>
      </c>
      <c r="F217" s="24" t="s">
        <v>34</v>
      </c>
      <c r="G217" s="20">
        <f>3255.52+17.15</f>
        <v>3272.67</v>
      </c>
      <c r="H217" s="20">
        <f>3255.52+17.15</f>
        <v>3272.67</v>
      </c>
      <c r="I217" s="20">
        <f>3255.52+17.15</f>
        <v>3272.67</v>
      </c>
      <c r="J217" s="20"/>
      <c r="K217" s="20">
        <v>3295.13</v>
      </c>
      <c r="L217" s="69">
        <v>3290.85</v>
      </c>
      <c r="M217" s="21">
        <f t="shared" si="51"/>
        <v>99.870111346138074</v>
      </c>
    </row>
    <row r="218" spans="1:13" ht="40.5" customHeight="1">
      <c r="A218" s="22" t="s">
        <v>220</v>
      </c>
      <c r="B218" s="23">
        <v>606</v>
      </c>
      <c r="C218" s="32" t="s">
        <v>187</v>
      </c>
      <c r="D218" s="24" t="s">
        <v>46</v>
      </c>
      <c r="E218" s="24" t="s">
        <v>221</v>
      </c>
      <c r="F218" s="24" t="s">
        <v>18</v>
      </c>
      <c r="G218" s="20">
        <f t="shared" ref="G218:L218" si="52">G219+G220+G221</f>
        <v>31167.190000000002</v>
      </c>
      <c r="H218" s="20">
        <f t="shared" si="52"/>
        <v>34871.449999999997</v>
      </c>
      <c r="I218" s="20">
        <f t="shared" si="52"/>
        <v>35057.49</v>
      </c>
      <c r="J218" s="20">
        <f t="shared" si="52"/>
        <v>0</v>
      </c>
      <c r="K218" s="20">
        <f t="shared" si="52"/>
        <v>33021.32</v>
      </c>
      <c r="L218" s="69">
        <f t="shared" si="52"/>
        <v>32373.46</v>
      </c>
      <c r="M218" s="21">
        <f t="shared" si="51"/>
        <v>98.038055413896231</v>
      </c>
    </row>
    <row r="219" spans="1:13" ht="76.5" customHeight="1">
      <c r="A219" s="22" t="s">
        <v>29</v>
      </c>
      <c r="B219" s="23">
        <v>606</v>
      </c>
      <c r="C219" s="32" t="s">
        <v>187</v>
      </c>
      <c r="D219" s="24" t="s">
        <v>46</v>
      </c>
      <c r="E219" s="24" t="s">
        <v>221</v>
      </c>
      <c r="F219" s="24" t="s">
        <v>30</v>
      </c>
      <c r="G219" s="20">
        <v>28692.93</v>
      </c>
      <c r="H219" s="20">
        <v>32190.13</v>
      </c>
      <c r="I219" s="20">
        <v>32190.13</v>
      </c>
      <c r="J219" s="20"/>
      <c r="K219" s="20">
        <v>29655.759999999998</v>
      </c>
      <c r="L219" s="69">
        <v>29378.78</v>
      </c>
      <c r="M219" s="21">
        <f t="shared" si="51"/>
        <v>99.066016180330564</v>
      </c>
    </row>
    <row r="220" spans="1:13" ht="39.75" customHeight="1">
      <c r="A220" s="22" t="s">
        <v>31</v>
      </c>
      <c r="B220" s="23">
        <v>606</v>
      </c>
      <c r="C220" s="32" t="s">
        <v>187</v>
      </c>
      <c r="D220" s="24" t="s">
        <v>46</v>
      </c>
      <c r="E220" s="24" t="s">
        <v>221</v>
      </c>
      <c r="F220" s="24" t="s">
        <v>32</v>
      </c>
      <c r="G220" s="20">
        <f>2367.57-50.01</f>
        <v>2317.56</v>
      </c>
      <c r="H220" s="20">
        <f>2579.63-50.01</f>
        <v>2529.62</v>
      </c>
      <c r="I220" s="20">
        <f>2765.67-50.01</f>
        <v>2715.66</v>
      </c>
      <c r="J220" s="20"/>
      <c r="K220" s="20">
        <v>3205.96</v>
      </c>
      <c r="L220" s="69">
        <v>2836.68</v>
      </c>
      <c r="M220" s="21">
        <f t="shared" si="51"/>
        <v>88.48145329324133</v>
      </c>
    </row>
    <row r="221" spans="1:13" ht="19.5" customHeight="1">
      <c r="A221" s="22" t="s">
        <v>33</v>
      </c>
      <c r="B221" s="23">
        <v>606</v>
      </c>
      <c r="C221" s="32" t="s">
        <v>187</v>
      </c>
      <c r="D221" s="24" t="s">
        <v>46</v>
      </c>
      <c r="E221" s="24" t="s">
        <v>221</v>
      </c>
      <c r="F221" s="24" t="s">
        <v>34</v>
      </c>
      <c r="G221" s="20">
        <f>151.69+0.01+5</f>
        <v>156.69999999999999</v>
      </c>
      <c r="H221" s="20">
        <f>151.69+0.01</f>
        <v>151.69999999999999</v>
      </c>
      <c r="I221" s="20">
        <f>151.69+0.01</f>
        <v>151.69999999999999</v>
      </c>
      <c r="J221" s="20"/>
      <c r="K221" s="20">
        <v>159.6</v>
      </c>
      <c r="L221" s="69">
        <v>158</v>
      </c>
      <c r="M221" s="21">
        <f t="shared" si="51"/>
        <v>98.997493734335833</v>
      </c>
    </row>
    <row r="222" spans="1:13" ht="18" customHeight="1">
      <c r="A222" s="22" t="s">
        <v>222</v>
      </c>
      <c r="B222" s="23">
        <v>606</v>
      </c>
      <c r="C222" s="32" t="s">
        <v>187</v>
      </c>
      <c r="D222" s="24" t="s">
        <v>46</v>
      </c>
      <c r="E222" s="24" t="s">
        <v>223</v>
      </c>
      <c r="F222" s="24" t="s">
        <v>18</v>
      </c>
      <c r="G222" s="20">
        <f>G224+G225</f>
        <v>150</v>
      </c>
      <c r="H222" s="20">
        <f>H224+H225</f>
        <v>150</v>
      </c>
      <c r="I222" s="20">
        <f>I224+I225</f>
        <v>150</v>
      </c>
      <c r="J222" s="20">
        <f>J224+J225</f>
        <v>0</v>
      </c>
      <c r="K222" s="20">
        <f>K223+K224+K225</f>
        <v>150</v>
      </c>
      <c r="L222" s="69">
        <f>L223+L224+L225</f>
        <v>116.52</v>
      </c>
      <c r="M222" s="21">
        <f t="shared" si="51"/>
        <v>77.679999999999993</v>
      </c>
    </row>
    <row r="223" spans="1:13" ht="78" customHeight="1">
      <c r="A223" s="55" t="s">
        <v>29</v>
      </c>
      <c r="B223" s="23">
        <v>606</v>
      </c>
      <c r="C223" s="32" t="s">
        <v>187</v>
      </c>
      <c r="D223" s="24" t="s">
        <v>46</v>
      </c>
      <c r="E223" s="24" t="s">
        <v>223</v>
      </c>
      <c r="F223" s="24" t="s">
        <v>30</v>
      </c>
      <c r="G223" s="20"/>
      <c r="H223" s="20"/>
      <c r="I223" s="20"/>
      <c r="J223" s="20"/>
      <c r="K223" s="20">
        <v>5.4</v>
      </c>
      <c r="L223" s="69">
        <v>5.4</v>
      </c>
      <c r="M223" s="21">
        <f t="shared" si="51"/>
        <v>100</v>
      </c>
    </row>
    <row r="224" spans="1:13" ht="38.25" customHeight="1">
      <c r="A224" s="22" t="s">
        <v>31</v>
      </c>
      <c r="B224" s="23">
        <v>606</v>
      </c>
      <c r="C224" s="32" t="s">
        <v>187</v>
      </c>
      <c r="D224" s="24" t="s">
        <v>46</v>
      </c>
      <c r="E224" s="24" t="s">
        <v>223</v>
      </c>
      <c r="F224" s="24" t="s">
        <v>32</v>
      </c>
      <c r="G224" s="20">
        <v>90</v>
      </c>
      <c r="H224" s="20">
        <v>90</v>
      </c>
      <c r="I224" s="20">
        <v>90</v>
      </c>
      <c r="J224" s="20"/>
      <c r="K224" s="20">
        <v>84.6</v>
      </c>
      <c r="L224" s="69">
        <v>51.12</v>
      </c>
      <c r="M224" s="21">
        <f t="shared" si="51"/>
        <v>60.425531914893618</v>
      </c>
    </row>
    <row r="225" spans="1:13" ht="37.5" customHeight="1">
      <c r="A225" s="22" t="s">
        <v>105</v>
      </c>
      <c r="B225" s="23">
        <v>606</v>
      </c>
      <c r="C225" s="32" t="s">
        <v>187</v>
      </c>
      <c r="D225" s="24" t="s">
        <v>46</v>
      </c>
      <c r="E225" s="24" t="s">
        <v>223</v>
      </c>
      <c r="F225" s="24" t="s">
        <v>106</v>
      </c>
      <c r="G225" s="20">
        <v>60</v>
      </c>
      <c r="H225" s="20">
        <v>60</v>
      </c>
      <c r="I225" s="20">
        <v>60</v>
      </c>
      <c r="J225" s="20"/>
      <c r="K225" s="20">
        <f>G225+J225</f>
        <v>60</v>
      </c>
      <c r="L225" s="69">
        <v>60</v>
      </c>
      <c r="M225" s="21">
        <f t="shared" si="51"/>
        <v>100</v>
      </c>
    </row>
    <row r="226" spans="1:13" ht="17.25" customHeight="1">
      <c r="A226" s="22" t="s">
        <v>208</v>
      </c>
      <c r="B226" s="23">
        <v>606</v>
      </c>
      <c r="C226" s="32" t="s">
        <v>187</v>
      </c>
      <c r="D226" s="24" t="s">
        <v>46</v>
      </c>
      <c r="E226" s="24" t="s">
        <v>209</v>
      </c>
      <c r="F226" s="24" t="s">
        <v>18</v>
      </c>
      <c r="G226" s="20">
        <f>G227+G229</f>
        <v>0</v>
      </c>
      <c r="H226" s="20">
        <f>H227+H229</f>
        <v>529</v>
      </c>
      <c r="I226" s="20">
        <f>I227+I229</f>
        <v>529</v>
      </c>
      <c r="J226" s="20">
        <f>J227+J229</f>
        <v>1500</v>
      </c>
      <c r="K226" s="20">
        <f>K228+K229</f>
        <v>1676.21</v>
      </c>
      <c r="L226" s="69">
        <f>L228+L229</f>
        <v>1668.71</v>
      </c>
      <c r="M226" s="21">
        <f t="shared" si="51"/>
        <v>99.552562029817267</v>
      </c>
    </row>
    <row r="227" spans="1:13" ht="37.5" hidden="1" customHeight="1">
      <c r="A227" s="22" t="s">
        <v>31</v>
      </c>
      <c r="B227" s="23">
        <v>606</v>
      </c>
      <c r="C227" s="32" t="s">
        <v>187</v>
      </c>
      <c r="D227" s="24" t="s">
        <v>46</v>
      </c>
      <c r="E227" s="24" t="s">
        <v>209</v>
      </c>
      <c r="F227" s="24" t="s">
        <v>32</v>
      </c>
      <c r="G227" s="20"/>
      <c r="H227" s="20">
        <f>529</f>
        <v>529</v>
      </c>
      <c r="I227" s="20">
        <v>529</v>
      </c>
      <c r="J227" s="20"/>
      <c r="K227" s="20">
        <f>G227+J227</f>
        <v>0</v>
      </c>
      <c r="L227" s="69">
        <v>0</v>
      </c>
      <c r="M227" s="21" t="e">
        <f t="shared" si="51"/>
        <v>#DIV/0!</v>
      </c>
    </row>
    <row r="228" spans="1:13" ht="37.5" customHeight="1">
      <c r="A228" s="22" t="s">
        <v>31</v>
      </c>
      <c r="B228" s="23">
        <v>606</v>
      </c>
      <c r="C228" s="32" t="s">
        <v>187</v>
      </c>
      <c r="D228" s="24" t="s">
        <v>46</v>
      </c>
      <c r="E228" s="24" t="s">
        <v>209</v>
      </c>
      <c r="F228" s="24" t="s">
        <v>32</v>
      </c>
      <c r="G228" s="20"/>
      <c r="H228" s="20"/>
      <c r="I228" s="20"/>
      <c r="J228" s="20"/>
      <c r="K228" s="20">
        <v>176.21</v>
      </c>
      <c r="L228" s="69">
        <v>176.21</v>
      </c>
      <c r="M228" s="21">
        <f t="shared" si="51"/>
        <v>100</v>
      </c>
    </row>
    <row r="229" spans="1:13" ht="37.5" customHeight="1">
      <c r="A229" s="22" t="s">
        <v>105</v>
      </c>
      <c r="B229" s="23">
        <v>606</v>
      </c>
      <c r="C229" s="32" t="s">
        <v>187</v>
      </c>
      <c r="D229" s="24" t="s">
        <v>46</v>
      </c>
      <c r="E229" s="24" t="s">
        <v>209</v>
      </c>
      <c r="F229" s="24" t="s">
        <v>106</v>
      </c>
      <c r="G229" s="20"/>
      <c r="H229" s="20"/>
      <c r="I229" s="20"/>
      <c r="J229" s="20">
        <f>1500</f>
        <v>1500</v>
      </c>
      <c r="K229" s="20">
        <f>G229+J229</f>
        <v>1500</v>
      </c>
      <c r="L229" s="69">
        <v>1492.5</v>
      </c>
      <c r="M229" s="21">
        <f t="shared" si="51"/>
        <v>99.5</v>
      </c>
    </row>
    <row r="230" spans="1:13" ht="38.25" customHeight="1">
      <c r="A230" s="22" t="s">
        <v>210</v>
      </c>
      <c r="B230" s="23">
        <v>606</v>
      </c>
      <c r="C230" s="32" t="s">
        <v>187</v>
      </c>
      <c r="D230" s="24" t="s">
        <v>46</v>
      </c>
      <c r="E230" s="24" t="s">
        <v>211</v>
      </c>
      <c r="F230" s="24" t="s">
        <v>18</v>
      </c>
      <c r="G230" s="20">
        <f>G231</f>
        <v>467.44000000000005</v>
      </c>
      <c r="H230" s="20">
        <f>H231</f>
        <v>529.6</v>
      </c>
      <c r="I230" s="20">
        <f>I231</f>
        <v>529.6</v>
      </c>
      <c r="J230" s="20">
        <f>J231</f>
        <v>0</v>
      </c>
      <c r="K230" s="20">
        <f>G230+J230</f>
        <v>467.44000000000005</v>
      </c>
      <c r="L230" s="69">
        <f>SUM(L231)</f>
        <v>407.43</v>
      </c>
      <c r="M230" s="21">
        <f t="shared" si="51"/>
        <v>87.161988704432645</v>
      </c>
    </row>
    <row r="231" spans="1:13" ht="37.5" customHeight="1">
      <c r="A231" s="22" t="s">
        <v>31</v>
      </c>
      <c r="B231" s="23">
        <v>606</v>
      </c>
      <c r="C231" s="32" t="s">
        <v>187</v>
      </c>
      <c r="D231" s="24" t="s">
        <v>46</v>
      </c>
      <c r="E231" s="24" t="s">
        <v>211</v>
      </c>
      <c r="F231" s="24" t="s">
        <v>32</v>
      </c>
      <c r="G231" s="20">
        <f>396+133.6-62.16</f>
        <v>467.44000000000005</v>
      </c>
      <c r="H231" s="20">
        <f>396+133.6</f>
        <v>529.6</v>
      </c>
      <c r="I231" s="20">
        <f>396+133.6</f>
        <v>529.6</v>
      </c>
      <c r="J231" s="20"/>
      <c r="K231" s="20">
        <f>G231+J231</f>
        <v>467.44000000000005</v>
      </c>
      <c r="L231" s="69">
        <v>407.43</v>
      </c>
      <c r="M231" s="21">
        <f t="shared" si="51"/>
        <v>87.161988704432645</v>
      </c>
    </row>
    <row r="232" spans="1:13" ht="18.600000000000001" customHeight="1">
      <c r="A232" s="22" t="s">
        <v>224</v>
      </c>
      <c r="B232" s="23">
        <v>606</v>
      </c>
      <c r="C232" s="32" t="s">
        <v>187</v>
      </c>
      <c r="D232" s="24" t="s">
        <v>46</v>
      </c>
      <c r="E232" s="24" t="s">
        <v>225</v>
      </c>
      <c r="F232" s="24" t="s">
        <v>18</v>
      </c>
      <c r="G232" s="20">
        <f t="shared" ref="G232:L232" si="53">G233+G234</f>
        <v>0</v>
      </c>
      <c r="H232" s="20">
        <f t="shared" si="53"/>
        <v>1059.2</v>
      </c>
      <c r="I232" s="20">
        <f t="shared" si="53"/>
        <v>1059.2</v>
      </c>
      <c r="J232" s="20">
        <f t="shared" si="53"/>
        <v>100</v>
      </c>
      <c r="K232" s="20">
        <f t="shared" si="53"/>
        <v>308.47000000000003</v>
      </c>
      <c r="L232" s="69">
        <f t="shared" si="53"/>
        <v>306.19</v>
      </c>
      <c r="M232" s="21">
        <f t="shared" si="51"/>
        <v>99.260868155736375</v>
      </c>
    </row>
    <row r="233" spans="1:13" ht="76.5" customHeight="1">
      <c r="A233" s="22" t="s">
        <v>29</v>
      </c>
      <c r="B233" s="23">
        <v>606</v>
      </c>
      <c r="C233" s="32" t="s">
        <v>187</v>
      </c>
      <c r="D233" s="24" t="s">
        <v>46</v>
      </c>
      <c r="E233" s="24" t="s">
        <v>225</v>
      </c>
      <c r="F233" s="24" t="s">
        <v>30</v>
      </c>
      <c r="G233" s="20"/>
      <c r="H233" s="20">
        <f>396+133.6</f>
        <v>529.6</v>
      </c>
      <c r="I233" s="20">
        <f>396+133.6</f>
        <v>529.6</v>
      </c>
      <c r="J233" s="20">
        <v>50.6</v>
      </c>
      <c r="K233" s="20">
        <v>188.07</v>
      </c>
      <c r="L233" s="69">
        <v>186.42</v>
      </c>
      <c r="M233" s="21">
        <f t="shared" si="51"/>
        <v>99.122667092040189</v>
      </c>
    </row>
    <row r="234" spans="1:13" ht="37.5" customHeight="1">
      <c r="A234" s="22" t="s">
        <v>105</v>
      </c>
      <c r="B234" s="23">
        <v>606</v>
      </c>
      <c r="C234" s="32" t="s">
        <v>187</v>
      </c>
      <c r="D234" s="24" t="s">
        <v>46</v>
      </c>
      <c r="E234" s="24" t="s">
        <v>225</v>
      </c>
      <c r="F234" s="24" t="s">
        <v>106</v>
      </c>
      <c r="G234" s="20"/>
      <c r="H234" s="20">
        <f>396+133.6</f>
        <v>529.6</v>
      </c>
      <c r="I234" s="20">
        <f>396+133.6</f>
        <v>529.6</v>
      </c>
      <c r="J234" s="20">
        <v>49.4</v>
      </c>
      <c r="K234" s="20">
        <v>120.4</v>
      </c>
      <c r="L234" s="69">
        <v>119.77</v>
      </c>
      <c r="M234" s="21">
        <f t="shared" si="51"/>
        <v>99.476744186046503</v>
      </c>
    </row>
    <row r="235" spans="1:13" ht="114.75" customHeight="1">
      <c r="A235" s="1" t="s">
        <v>226</v>
      </c>
      <c r="B235" s="23">
        <v>606</v>
      </c>
      <c r="C235" s="32" t="s">
        <v>187</v>
      </c>
      <c r="D235" s="24" t="s">
        <v>46</v>
      </c>
      <c r="E235" s="24" t="s">
        <v>227</v>
      </c>
      <c r="F235" s="24" t="s">
        <v>18</v>
      </c>
      <c r="G235" s="20">
        <f t="shared" ref="G235:L235" si="54">G236+G237+G238</f>
        <v>163640.70000000001</v>
      </c>
      <c r="H235" s="20">
        <f t="shared" si="54"/>
        <v>185332.51</v>
      </c>
      <c r="I235" s="20">
        <f t="shared" si="54"/>
        <v>204828.27000000002</v>
      </c>
      <c r="J235" s="20">
        <f t="shared" si="54"/>
        <v>0</v>
      </c>
      <c r="K235" s="20">
        <f t="shared" si="54"/>
        <v>173142.89</v>
      </c>
      <c r="L235" s="69">
        <f t="shared" si="54"/>
        <v>173006.93</v>
      </c>
      <c r="M235" s="21">
        <f t="shared" si="51"/>
        <v>99.921475262426299</v>
      </c>
    </row>
    <row r="236" spans="1:13" ht="78" customHeight="1">
      <c r="A236" s="22" t="s">
        <v>29</v>
      </c>
      <c r="B236" s="23">
        <v>606</v>
      </c>
      <c r="C236" s="32" t="s">
        <v>187</v>
      </c>
      <c r="D236" s="24" t="s">
        <v>46</v>
      </c>
      <c r="E236" s="24" t="s">
        <v>227</v>
      </c>
      <c r="F236" s="24" t="s">
        <v>30</v>
      </c>
      <c r="G236" s="20">
        <v>69622.399999999994</v>
      </c>
      <c r="H236" s="20">
        <v>78950.13</v>
      </c>
      <c r="I236" s="20">
        <v>83686.600000000006</v>
      </c>
      <c r="J236" s="20"/>
      <c r="K236" s="20">
        <v>70273.83</v>
      </c>
      <c r="L236" s="69">
        <v>70159.39</v>
      </c>
      <c r="M236" s="21">
        <f t="shared" si="51"/>
        <v>99.837151326461068</v>
      </c>
    </row>
    <row r="237" spans="1:13" ht="37.5">
      <c r="A237" s="22" t="s">
        <v>102</v>
      </c>
      <c r="B237" s="23">
        <v>606</v>
      </c>
      <c r="C237" s="32" t="s">
        <v>187</v>
      </c>
      <c r="D237" s="24" t="s">
        <v>46</v>
      </c>
      <c r="E237" s="24" t="s">
        <v>227</v>
      </c>
      <c r="F237" s="24" t="s">
        <v>32</v>
      </c>
      <c r="G237" s="20">
        <v>610</v>
      </c>
      <c r="H237" s="20">
        <v>610</v>
      </c>
      <c r="I237" s="20">
        <v>610</v>
      </c>
      <c r="J237" s="20"/>
      <c r="K237" s="20">
        <v>2038.52</v>
      </c>
      <c r="L237" s="69">
        <v>2017</v>
      </c>
      <c r="M237" s="21">
        <f t="shared" si="51"/>
        <v>98.944332162549301</v>
      </c>
    </row>
    <row r="238" spans="1:13" ht="39.75" customHeight="1">
      <c r="A238" s="22" t="s">
        <v>105</v>
      </c>
      <c r="B238" s="23">
        <v>606</v>
      </c>
      <c r="C238" s="32" t="s">
        <v>187</v>
      </c>
      <c r="D238" s="24" t="s">
        <v>46</v>
      </c>
      <c r="E238" s="24" t="s">
        <v>227</v>
      </c>
      <c r="F238" s="24" t="s">
        <v>106</v>
      </c>
      <c r="G238" s="20">
        <v>93408.3</v>
      </c>
      <c r="H238" s="20">
        <v>105772.38</v>
      </c>
      <c r="I238" s="20">
        <v>120531.67</v>
      </c>
      <c r="J238" s="20"/>
      <c r="K238" s="20">
        <v>100830.54</v>
      </c>
      <c r="L238" s="69">
        <v>100830.54</v>
      </c>
      <c r="M238" s="21">
        <f t="shared" si="51"/>
        <v>100</v>
      </c>
    </row>
    <row r="239" spans="1:13" ht="75.75" customHeight="1">
      <c r="A239" s="55" t="s">
        <v>445</v>
      </c>
      <c r="B239" s="52">
        <v>606</v>
      </c>
      <c r="C239" s="58" t="s">
        <v>187</v>
      </c>
      <c r="D239" s="53" t="s">
        <v>46</v>
      </c>
      <c r="E239" s="53" t="s">
        <v>446</v>
      </c>
      <c r="F239" s="53" t="s">
        <v>18</v>
      </c>
      <c r="G239" s="20"/>
      <c r="H239" s="20"/>
      <c r="I239" s="20"/>
      <c r="J239" s="20"/>
      <c r="K239" s="20">
        <f>K240+K241</f>
        <v>3897.5</v>
      </c>
      <c r="L239" s="69">
        <f>L240+L241</f>
        <v>3897.5</v>
      </c>
      <c r="M239" s="21">
        <f t="shared" si="51"/>
        <v>100</v>
      </c>
    </row>
    <row r="240" spans="1:13" ht="39.75" customHeight="1">
      <c r="A240" s="55" t="s">
        <v>31</v>
      </c>
      <c r="B240" s="52">
        <v>606</v>
      </c>
      <c r="C240" s="58" t="s">
        <v>187</v>
      </c>
      <c r="D240" s="53" t="s">
        <v>46</v>
      </c>
      <c r="E240" s="53" t="s">
        <v>446</v>
      </c>
      <c r="F240" s="53" t="s">
        <v>32</v>
      </c>
      <c r="G240" s="20"/>
      <c r="H240" s="20"/>
      <c r="I240" s="20"/>
      <c r="J240" s="20"/>
      <c r="K240" s="20">
        <v>1960.31</v>
      </c>
      <c r="L240" s="69">
        <v>1960.31</v>
      </c>
      <c r="M240" s="21">
        <f t="shared" si="51"/>
        <v>100</v>
      </c>
    </row>
    <row r="241" spans="1:13" ht="39.75" customHeight="1">
      <c r="A241" s="55" t="s">
        <v>105</v>
      </c>
      <c r="B241" s="52">
        <v>606</v>
      </c>
      <c r="C241" s="58" t="s">
        <v>187</v>
      </c>
      <c r="D241" s="53" t="s">
        <v>46</v>
      </c>
      <c r="E241" s="53" t="s">
        <v>446</v>
      </c>
      <c r="F241" s="53" t="s">
        <v>106</v>
      </c>
      <c r="G241" s="20"/>
      <c r="H241" s="20"/>
      <c r="I241" s="20"/>
      <c r="J241" s="20"/>
      <c r="K241" s="20">
        <v>1937.19</v>
      </c>
      <c r="L241" s="69">
        <v>1937.19</v>
      </c>
      <c r="M241" s="21">
        <f t="shared" si="51"/>
        <v>100</v>
      </c>
    </row>
    <row r="242" spans="1:13" ht="63" customHeight="1">
      <c r="A242" s="55" t="s">
        <v>466</v>
      </c>
      <c r="B242" s="52">
        <v>606</v>
      </c>
      <c r="C242" s="58" t="s">
        <v>187</v>
      </c>
      <c r="D242" s="53" t="s">
        <v>46</v>
      </c>
      <c r="E242" s="53" t="s">
        <v>465</v>
      </c>
      <c r="F242" s="53" t="s">
        <v>18</v>
      </c>
      <c r="G242" s="20"/>
      <c r="H242" s="20"/>
      <c r="I242" s="20"/>
      <c r="J242" s="20"/>
      <c r="K242" s="20">
        <f>K243</f>
        <v>1182.8900000000001</v>
      </c>
      <c r="L242" s="69">
        <f>L243</f>
        <v>1153.67</v>
      </c>
      <c r="M242" s="21">
        <f t="shared" si="51"/>
        <v>97.529778762184137</v>
      </c>
    </row>
    <row r="243" spans="1:13" ht="76.5" customHeight="1">
      <c r="A243" s="55" t="s">
        <v>29</v>
      </c>
      <c r="B243" s="52">
        <v>606</v>
      </c>
      <c r="C243" s="58" t="s">
        <v>187</v>
      </c>
      <c r="D243" s="53" t="s">
        <v>46</v>
      </c>
      <c r="E243" s="53" t="s">
        <v>465</v>
      </c>
      <c r="F243" s="53" t="s">
        <v>30</v>
      </c>
      <c r="G243" s="20"/>
      <c r="H243" s="20"/>
      <c r="I243" s="20"/>
      <c r="J243" s="20"/>
      <c r="K243" s="20">
        <v>1182.8900000000001</v>
      </c>
      <c r="L243" s="69">
        <v>1153.67</v>
      </c>
      <c r="M243" s="21">
        <f t="shared" si="51"/>
        <v>97.529778762184137</v>
      </c>
    </row>
    <row r="244" spans="1:13" ht="19.5" customHeight="1">
      <c r="A244" s="22" t="s">
        <v>228</v>
      </c>
      <c r="B244" s="23">
        <v>606</v>
      </c>
      <c r="C244" s="24" t="s">
        <v>187</v>
      </c>
      <c r="D244" s="24" t="s">
        <v>187</v>
      </c>
      <c r="E244" s="24" t="s">
        <v>18</v>
      </c>
      <c r="F244" s="24" t="s">
        <v>18</v>
      </c>
      <c r="G244" s="20">
        <f>G245</f>
        <v>4477</v>
      </c>
      <c r="H244" s="20">
        <f t="shared" ref="H244:I246" si="55">H245</f>
        <v>5215</v>
      </c>
      <c r="I244" s="20">
        <f t="shared" si="55"/>
        <v>5215</v>
      </c>
      <c r="J244" s="20">
        <f>J245</f>
        <v>150</v>
      </c>
      <c r="K244" s="20">
        <f>K245</f>
        <v>4892.1399999999994</v>
      </c>
      <c r="L244" s="70">
        <f>L245</f>
        <v>4890.8100000000004</v>
      </c>
      <c r="M244" s="21">
        <f t="shared" si="51"/>
        <v>99.972813533545661</v>
      </c>
    </row>
    <row r="245" spans="1:13" ht="41.25" customHeight="1">
      <c r="A245" s="30" t="s">
        <v>202</v>
      </c>
      <c r="B245" s="23">
        <v>606</v>
      </c>
      <c r="C245" s="24" t="s">
        <v>187</v>
      </c>
      <c r="D245" s="24" t="s">
        <v>187</v>
      </c>
      <c r="E245" s="24" t="s">
        <v>203</v>
      </c>
      <c r="F245" s="24" t="s">
        <v>18</v>
      </c>
      <c r="G245" s="20">
        <f t="shared" ref="G245:L245" si="56">G246+G251</f>
        <v>4477</v>
      </c>
      <c r="H245" s="20">
        <f t="shared" si="56"/>
        <v>5215</v>
      </c>
      <c r="I245" s="20">
        <f t="shared" si="56"/>
        <v>5215</v>
      </c>
      <c r="J245" s="20">
        <f t="shared" si="56"/>
        <v>150</v>
      </c>
      <c r="K245" s="20">
        <f t="shared" si="56"/>
        <v>4892.1399999999994</v>
      </c>
      <c r="L245" s="69">
        <f t="shared" si="56"/>
        <v>4890.8100000000004</v>
      </c>
      <c r="M245" s="21">
        <f t="shared" si="51"/>
        <v>99.972813533545661</v>
      </c>
    </row>
    <row r="246" spans="1:13" ht="56.25" customHeight="1">
      <c r="A246" s="22" t="s">
        <v>229</v>
      </c>
      <c r="B246" s="23">
        <v>606</v>
      </c>
      <c r="C246" s="32" t="s">
        <v>187</v>
      </c>
      <c r="D246" s="24" t="s">
        <v>187</v>
      </c>
      <c r="E246" s="24" t="s">
        <v>230</v>
      </c>
      <c r="F246" s="24" t="s">
        <v>18</v>
      </c>
      <c r="G246" s="20">
        <f>G247</f>
        <v>3700</v>
      </c>
      <c r="H246" s="20">
        <f t="shared" si="55"/>
        <v>3700</v>
      </c>
      <c r="I246" s="20">
        <f t="shared" si="55"/>
        <v>3700</v>
      </c>
      <c r="J246" s="20">
        <f>J247</f>
        <v>0</v>
      </c>
      <c r="K246" s="20">
        <f>K247</f>
        <v>3955.14</v>
      </c>
      <c r="L246" s="69">
        <f>L247</f>
        <v>3954.77</v>
      </c>
      <c r="M246" s="21">
        <f t="shared" si="51"/>
        <v>99.990645084624063</v>
      </c>
    </row>
    <row r="247" spans="1:13" ht="18.75" customHeight="1">
      <c r="A247" s="27" t="s">
        <v>231</v>
      </c>
      <c r="B247" s="23">
        <v>606</v>
      </c>
      <c r="C247" s="32" t="s">
        <v>187</v>
      </c>
      <c r="D247" s="24" t="s">
        <v>187</v>
      </c>
      <c r="E247" s="24" t="s">
        <v>232</v>
      </c>
      <c r="F247" s="24" t="s">
        <v>18</v>
      </c>
      <c r="G247" s="20">
        <f>G248+G250</f>
        <v>3700</v>
      </c>
      <c r="H247" s="20">
        <f>H248+H250</f>
        <v>3700</v>
      </c>
      <c r="I247" s="20">
        <f>I248+I250</f>
        <v>3700</v>
      </c>
      <c r="J247" s="20">
        <f>J248+J250</f>
        <v>0</v>
      </c>
      <c r="K247" s="20">
        <f>K248+K249+K250</f>
        <v>3955.14</v>
      </c>
      <c r="L247" s="69">
        <f>L248+L249+L250</f>
        <v>3954.77</v>
      </c>
      <c r="M247" s="21">
        <f t="shared" si="51"/>
        <v>99.990645084624063</v>
      </c>
    </row>
    <row r="248" spans="1:13" ht="38.25" customHeight="1">
      <c r="A248" s="22" t="s">
        <v>102</v>
      </c>
      <c r="B248" s="23">
        <v>606</v>
      </c>
      <c r="C248" s="32" t="s">
        <v>187</v>
      </c>
      <c r="D248" s="24" t="s">
        <v>187</v>
      </c>
      <c r="E248" s="24" t="s">
        <v>232</v>
      </c>
      <c r="F248" s="24" t="s">
        <v>32</v>
      </c>
      <c r="G248" s="20">
        <v>1800</v>
      </c>
      <c r="H248" s="20">
        <v>1800</v>
      </c>
      <c r="I248" s="20">
        <v>1800</v>
      </c>
      <c r="J248" s="20">
        <f>-52.5</f>
        <v>-52.5</v>
      </c>
      <c r="K248" s="20">
        <v>1753.04</v>
      </c>
      <c r="L248" s="69">
        <v>1752.73</v>
      </c>
      <c r="M248" s="21">
        <f t="shared" si="51"/>
        <v>99.982316433167526</v>
      </c>
    </row>
    <row r="249" spans="1:13" ht="24" customHeight="1">
      <c r="A249" s="55" t="s">
        <v>141</v>
      </c>
      <c r="B249" s="52">
        <v>606</v>
      </c>
      <c r="C249" s="58" t="s">
        <v>187</v>
      </c>
      <c r="D249" s="53" t="s">
        <v>187</v>
      </c>
      <c r="E249" s="53" t="s">
        <v>232</v>
      </c>
      <c r="F249" s="53" t="s">
        <v>142</v>
      </c>
      <c r="G249" s="20"/>
      <c r="H249" s="20"/>
      <c r="I249" s="20"/>
      <c r="J249" s="20"/>
      <c r="K249" s="20">
        <v>249.6</v>
      </c>
      <c r="L249" s="69">
        <v>249.6</v>
      </c>
      <c r="M249" s="21">
        <f t="shared" si="51"/>
        <v>100</v>
      </c>
    </row>
    <row r="250" spans="1:13" ht="39.75" customHeight="1">
      <c r="A250" s="22" t="s">
        <v>105</v>
      </c>
      <c r="B250" s="23">
        <v>606</v>
      </c>
      <c r="C250" s="32" t="s">
        <v>187</v>
      </c>
      <c r="D250" s="24" t="s">
        <v>187</v>
      </c>
      <c r="E250" s="24" t="s">
        <v>232</v>
      </c>
      <c r="F250" s="24" t="s">
        <v>106</v>
      </c>
      <c r="G250" s="20">
        <v>1900</v>
      </c>
      <c r="H250" s="20">
        <v>1900</v>
      </c>
      <c r="I250" s="20">
        <v>1900</v>
      </c>
      <c r="J250" s="20">
        <f>52.5</f>
        <v>52.5</v>
      </c>
      <c r="K250" s="20">
        <f>G250+J250</f>
        <v>1952.5</v>
      </c>
      <c r="L250" s="69">
        <v>1952.44</v>
      </c>
      <c r="M250" s="21">
        <f t="shared" si="51"/>
        <v>99.99692701664533</v>
      </c>
    </row>
    <row r="251" spans="1:13" ht="17.25" customHeight="1">
      <c r="A251" s="22" t="s">
        <v>233</v>
      </c>
      <c r="B251" s="23">
        <v>606</v>
      </c>
      <c r="C251" s="32" t="s">
        <v>187</v>
      </c>
      <c r="D251" s="24" t="s">
        <v>187</v>
      </c>
      <c r="E251" s="24" t="s">
        <v>234</v>
      </c>
      <c r="F251" s="24"/>
      <c r="G251" s="20">
        <f t="shared" ref="G251:L251" si="57">G252+G256</f>
        <v>777</v>
      </c>
      <c r="H251" s="20">
        <f t="shared" si="57"/>
        <v>1515</v>
      </c>
      <c r="I251" s="20">
        <f t="shared" si="57"/>
        <v>1515</v>
      </c>
      <c r="J251" s="20">
        <f t="shared" si="57"/>
        <v>150</v>
      </c>
      <c r="K251" s="20">
        <f t="shared" si="57"/>
        <v>937</v>
      </c>
      <c r="L251" s="69">
        <f t="shared" si="57"/>
        <v>936.04000000000008</v>
      </c>
      <c r="M251" s="21">
        <f t="shared" si="51"/>
        <v>99.897545357524024</v>
      </c>
    </row>
    <row r="252" spans="1:13" ht="39.75" customHeight="1">
      <c r="A252" s="22" t="s">
        <v>235</v>
      </c>
      <c r="B252" s="23">
        <v>606</v>
      </c>
      <c r="C252" s="24" t="s">
        <v>187</v>
      </c>
      <c r="D252" s="24" t="s">
        <v>187</v>
      </c>
      <c r="E252" s="24" t="s">
        <v>236</v>
      </c>
      <c r="F252" s="24" t="s">
        <v>18</v>
      </c>
      <c r="G252" s="20">
        <f t="shared" ref="G252:L252" si="58">G253+G254+G255</f>
        <v>777</v>
      </c>
      <c r="H252" s="20">
        <f t="shared" si="58"/>
        <v>777</v>
      </c>
      <c r="I252" s="20">
        <f t="shared" si="58"/>
        <v>777</v>
      </c>
      <c r="J252" s="20">
        <f t="shared" si="58"/>
        <v>80</v>
      </c>
      <c r="K252" s="20">
        <f t="shared" si="58"/>
        <v>867</v>
      </c>
      <c r="L252" s="69">
        <f t="shared" si="58"/>
        <v>866.04000000000008</v>
      </c>
      <c r="M252" s="21">
        <f t="shared" si="51"/>
        <v>99.889273356401404</v>
      </c>
    </row>
    <row r="253" spans="1:13" ht="75" customHeight="1">
      <c r="A253" s="22" t="s">
        <v>29</v>
      </c>
      <c r="B253" s="23">
        <v>606</v>
      </c>
      <c r="C253" s="24" t="s">
        <v>187</v>
      </c>
      <c r="D253" s="24" t="s">
        <v>187</v>
      </c>
      <c r="E253" s="24" t="s">
        <v>236</v>
      </c>
      <c r="F253" s="24" t="s">
        <v>30</v>
      </c>
      <c r="G253" s="20">
        <v>738</v>
      </c>
      <c r="H253" s="20">
        <v>738</v>
      </c>
      <c r="I253" s="20">
        <v>738</v>
      </c>
      <c r="J253" s="20">
        <f>40</f>
        <v>40</v>
      </c>
      <c r="K253" s="20">
        <v>789.85</v>
      </c>
      <c r="L253" s="69">
        <v>789.2</v>
      </c>
      <c r="M253" s="21">
        <f t="shared" si="51"/>
        <v>99.917705893524086</v>
      </c>
    </row>
    <row r="254" spans="1:13" ht="39.75" customHeight="1">
      <c r="A254" s="22" t="s">
        <v>102</v>
      </c>
      <c r="B254" s="23">
        <v>606</v>
      </c>
      <c r="C254" s="24" t="s">
        <v>187</v>
      </c>
      <c r="D254" s="24" t="s">
        <v>187</v>
      </c>
      <c r="E254" s="24" t="s">
        <v>236</v>
      </c>
      <c r="F254" s="24" t="s">
        <v>32</v>
      </c>
      <c r="G254" s="20">
        <v>36</v>
      </c>
      <c r="H254" s="20">
        <v>36</v>
      </c>
      <c r="I254" s="20">
        <v>36</v>
      </c>
      <c r="J254" s="20">
        <f>40</f>
        <v>40</v>
      </c>
      <c r="K254" s="20">
        <v>75.19</v>
      </c>
      <c r="L254" s="69">
        <v>74.88</v>
      </c>
      <c r="M254" s="21">
        <f t="shared" si="51"/>
        <v>99.587711131799438</v>
      </c>
    </row>
    <row r="255" spans="1:13" ht="18.600000000000001" customHeight="1">
      <c r="A255" s="22" t="s">
        <v>33</v>
      </c>
      <c r="B255" s="23">
        <v>606</v>
      </c>
      <c r="C255" s="24" t="s">
        <v>187</v>
      </c>
      <c r="D255" s="24" t="s">
        <v>187</v>
      </c>
      <c r="E255" s="24" t="s">
        <v>236</v>
      </c>
      <c r="F255" s="24" t="s">
        <v>34</v>
      </c>
      <c r="G255" s="20">
        <v>3</v>
      </c>
      <c r="H255" s="20">
        <v>3</v>
      </c>
      <c r="I255" s="20">
        <v>3</v>
      </c>
      <c r="J255" s="20"/>
      <c r="K255" s="20">
        <v>1.96</v>
      </c>
      <c r="L255" s="70">
        <v>1.96</v>
      </c>
      <c r="M255" s="21">
        <f t="shared" si="51"/>
        <v>100</v>
      </c>
    </row>
    <row r="256" spans="1:13" ht="19.149999999999999" customHeight="1">
      <c r="A256" s="4" t="s">
        <v>237</v>
      </c>
      <c r="B256" s="23">
        <v>606</v>
      </c>
      <c r="C256" s="24" t="s">
        <v>187</v>
      </c>
      <c r="D256" s="24" t="s">
        <v>187</v>
      </c>
      <c r="E256" s="24" t="s">
        <v>238</v>
      </c>
      <c r="F256" s="24" t="s">
        <v>18</v>
      </c>
      <c r="G256" s="20">
        <f>G257</f>
        <v>0</v>
      </c>
      <c r="H256" s="20">
        <f>H257</f>
        <v>738</v>
      </c>
      <c r="I256" s="20">
        <f>I257</f>
        <v>738</v>
      </c>
      <c r="J256" s="20">
        <f>J257</f>
        <v>70</v>
      </c>
      <c r="K256" s="20">
        <f>G256+J256</f>
        <v>70</v>
      </c>
      <c r="L256" s="69">
        <f>SUM(L257)</f>
        <v>70</v>
      </c>
      <c r="M256" s="21">
        <f t="shared" si="51"/>
        <v>100</v>
      </c>
    </row>
    <row r="257" spans="1:13" ht="38.25" customHeight="1">
      <c r="A257" s="22" t="s">
        <v>102</v>
      </c>
      <c r="B257" s="23">
        <v>606</v>
      </c>
      <c r="C257" s="24" t="s">
        <v>187</v>
      </c>
      <c r="D257" s="24" t="s">
        <v>187</v>
      </c>
      <c r="E257" s="24" t="s">
        <v>238</v>
      </c>
      <c r="F257" s="24" t="s">
        <v>32</v>
      </c>
      <c r="G257" s="20"/>
      <c r="H257" s="20">
        <v>738</v>
      </c>
      <c r="I257" s="20">
        <v>738</v>
      </c>
      <c r="J257" s="20">
        <v>70</v>
      </c>
      <c r="K257" s="20">
        <f>G257+J257</f>
        <v>70</v>
      </c>
      <c r="L257" s="69">
        <v>70</v>
      </c>
      <c r="M257" s="21">
        <f t="shared" si="51"/>
        <v>100</v>
      </c>
    </row>
    <row r="258" spans="1:13">
      <c r="A258" s="22" t="s">
        <v>239</v>
      </c>
      <c r="B258" s="23">
        <v>606</v>
      </c>
      <c r="C258" s="24" t="s">
        <v>187</v>
      </c>
      <c r="D258" s="24" t="s">
        <v>113</v>
      </c>
      <c r="E258" s="24" t="s">
        <v>18</v>
      </c>
      <c r="F258" s="24" t="s">
        <v>18</v>
      </c>
      <c r="G258" s="20">
        <f>G259</f>
        <v>28201.300000000003</v>
      </c>
      <c r="H258" s="20">
        <f>H259</f>
        <v>28145.93</v>
      </c>
      <c r="I258" s="20">
        <f>I259</f>
        <v>28271.31</v>
      </c>
      <c r="J258" s="20">
        <f>J259</f>
        <v>393.76</v>
      </c>
      <c r="K258" s="20">
        <f>K259</f>
        <v>28853.56</v>
      </c>
      <c r="L258" s="69">
        <f>SUM(L259)</f>
        <v>27705.47</v>
      </c>
      <c r="M258" s="21">
        <f t="shared" si="51"/>
        <v>96.020976267746505</v>
      </c>
    </row>
    <row r="259" spans="1:13" ht="38.25" customHeight="1">
      <c r="A259" s="30" t="s">
        <v>202</v>
      </c>
      <c r="B259" s="23">
        <v>606</v>
      </c>
      <c r="C259" s="24" t="s">
        <v>187</v>
      </c>
      <c r="D259" s="24" t="s">
        <v>113</v>
      </c>
      <c r="E259" s="24" t="s">
        <v>203</v>
      </c>
      <c r="F259" s="24" t="s">
        <v>18</v>
      </c>
      <c r="G259" s="20">
        <f t="shared" ref="G259:L259" si="59">G260+G265</f>
        <v>28201.300000000003</v>
      </c>
      <c r="H259" s="20">
        <f t="shared" si="59"/>
        <v>28145.93</v>
      </c>
      <c r="I259" s="20">
        <f t="shared" si="59"/>
        <v>28271.31</v>
      </c>
      <c r="J259" s="20">
        <f t="shared" si="59"/>
        <v>393.76</v>
      </c>
      <c r="K259" s="20">
        <f t="shared" si="59"/>
        <v>28853.56</v>
      </c>
      <c r="L259" s="69">
        <f t="shared" si="59"/>
        <v>27705.47</v>
      </c>
      <c r="M259" s="21">
        <f t="shared" si="51"/>
        <v>96.020976267746505</v>
      </c>
    </row>
    <row r="260" spans="1:13" ht="58.5" customHeight="1">
      <c r="A260" s="22" t="s">
        <v>229</v>
      </c>
      <c r="B260" s="23">
        <v>606</v>
      </c>
      <c r="C260" s="24" t="s">
        <v>187</v>
      </c>
      <c r="D260" s="24" t="s">
        <v>113</v>
      </c>
      <c r="E260" s="24" t="s">
        <v>230</v>
      </c>
      <c r="F260" s="24"/>
      <c r="G260" s="20">
        <f>G261</f>
        <v>2971.9</v>
      </c>
      <c r="H260" s="20">
        <f>H261</f>
        <v>3227.2599999999998</v>
      </c>
      <c r="I260" s="20">
        <f>I261</f>
        <v>3252.0499999999997</v>
      </c>
      <c r="J260" s="20">
        <f>J261</f>
        <v>120</v>
      </c>
      <c r="K260" s="20">
        <f>K261</f>
        <v>3296.5</v>
      </c>
      <c r="L260" s="69">
        <f>SUM(L261)</f>
        <v>3296.5</v>
      </c>
      <c r="M260" s="21">
        <f t="shared" si="51"/>
        <v>100</v>
      </c>
    </row>
    <row r="261" spans="1:13" ht="38.25" customHeight="1">
      <c r="A261" s="22" t="s">
        <v>240</v>
      </c>
      <c r="B261" s="23">
        <v>606</v>
      </c>
      <c r="C261" s="32" t="s">
        <v>187</v>
      </c>
      <c r="D261" s="24" t="s">
        <v>113</v>
      </c>
      <c r="E261" s="24" t="s">
        <v>241</v>
      </c>
      <c r="F261" s="24" t="s">
        <v>18</v>
      </c>
      <c r="G261" s="20">
        <f t="shared" ref="G261:L261" si="60">G262+G263+G264</f>
        <v>2971.9</v>
      </c>
      <c r="H261" s="20">
        <f t="shared" si="60"/>
        <v>3227.2599999999998</v>
      </c>
      <c r="I261" s="20">
        <f t="shared" si="60"/>
        <v>3252.0499999999997</v>
      </c>
      <c r="J261" s="20">
        <f t="shared" si="60"/>
        <v>120</v>
      </c>
      <c r="K261" s="20">
        <f t="shared" si="60"/>
        <v>3296.5</v>
      </c>
      <c r="L261" s="69">
        <f t="shared" si="60"/>
        <v>3296.5</v>
      </c>
      <c r="M261" s="21">
        <f t="shared" si="51"/>
        <v>100</v>
      </c>
    </row>
    <row r="262" spans="1:13" ht="78.75" customHeight="1">
      <c r="A262" s="22" t="s">
        <v>29</v>
      </c>
      <c r="B262" s="23">
        <v>606</v>
      </c>
      <c r="C262" s="32" t="s">
        <v>187</v>
      </c>
      <c r="D262" s="24" t="s">
        <v>113</v>
      </c>
      <c r="E262" s="24" t="s">
        <v>241</v>
      </c>
      <c r="F262" s="24" t="s">
        <v>30</v>
      </c>
      <c r="G262" s="20">
        <v>2641.2</v>
      </c>
      <c r="H262" s="20">
        <v>2868.31</v>
      </c>
      <c r="I262" s="20">
        <v>2868.31</v>
      </c>
      <c r="J262" s="20">
        <f>110.7</f>
        <v>110.7</v>
      </c>
      <c r="K262" s="20">
        <v>2939.9</v>
      </c>
      <c r="L262" s="69">
        <v>2939.9</v>
      </c>
      <c r="M262" s="21">
        <f t="shared" si="51"/>
        <v>100</v>
      </c>
    </row>
    <row r="263" spans="1:13" ht="38.25" customHeight="1">
      <c r="A263" s="22" t="s">
        <v>102</v>
      </c>
      <c r="B263" s="23">
        <v>606</v>
      </c>
      <c r="C263" s="32" t="s">
        <v>187</v>
      </c>
      <c r="D263" s="24" t="s">
        <v>113</v>
      </c>
      <c r="E263" s="24" t="s">
        <v>241</v>
      </c>
      <c r="F263" s="24" t="s">
        <v>32</v>
      </c>
      <c r="G263" s="20">
        <v>307.76</v>
      </c>
      <c r="H263" s="20">
        <f>335.99+0.02</f>
        <v>336.01</v>
      </c>
      <c r="I263" s="20">
        <f>360.77+0.03</f>
        <v>360.79999999999995</v>
      </c>
      <c r="J263" s="20">
        <f>9.3</f>
        <v>9.3000000000000007</v>
      </c>
      <c r="K263" s="20">
        <v>332.86</v>
      </c>
      <c r="L263" s="70">
        <v>332.86</v>
      </c>
      <c r="M263" s="21">
        <f t="shared" si="51"/>
        <v>100</v>
      </c>
    </row>
    <row r="264" spans="1:13" ht="21" customHeight="1">
      <c r="A264" s="22" t="s">
        <v>33</v>
      </c>
      <c r="B264" s="23">
        <v>606</v>
      </c>
      <c r="C264" s="32" t="s">
        <v>187</v>
      </c>
      <c r="D264" s="24" t="s">
        <v>113</v>
      </c>
      <c r="E264" s="24" t="s">
        <v>241</v>
      </c>
      <c r="F264" s="24" t="s">
        <v>34</v>
      </c>
      <c r="G264" s="20">
        <v>22.94</v>
      </c>
      <c r="H264" s="20">
        <v>22.94</v>
      </c>
      <c r="I264" s="20">
        <v>22.94</v>
      </c>
      <c r="J264" s="20"/>
      <c r="K264" s="20">
        <v>23.74</v>
      </c>
      <c r="L264" s="70">
        <v>23.74</v>
      </c>
      <c r="M264" s="21">
        <f t="shared" si="51"/>
        <v>100</v>
      </c>
    </row>
    <row r="265" spans="1:13" ht="39" customHeight="1">
      <c r="A265" s="22" t="s">
        <v>242</v>
      </c>
      <c r="B265" s="23">
        <v>606</v>
      </c>
      <c r="C265" s="24" t="s">
        <v>187</v>
      </c>
      <c r="D265" s="24" t="s">
        <v>113</v>
      </c>
      <c r="E265" s="24" t="s">
        <v>243</v>
      </c>
      <c r="F265" s="24" t="s">
        <v>18</v>
      </c>
      <c r="G265" s="20">
        <f t="shared" ref="G265:L265" si="61">G266+G270</f>
        <v>25229.4</v>
      </c>
      <c r="H265" s="20">
        <f t="shared" si="61"/>
        <v>24918.670000000002</v>
      </c>
      <c r="I265" s="20">
        <f t="shared" si="61"/>
        <v>25019.260000000002</v>
      </c>
      <c r="J265" s="20">
        <f t="shared" si="61"/>
        <v>273.76</v>
      </c>
      <c r="K265" s="20">
        <f t="shared" si="61"/>
        <v>25557.06</v>
      </c>
      <c r="L265" s="69">
        <f t="shared" si="61"/>
        <v>24408.97</v>
      </c>
      <c r="M265" s="21">
        <f t="shared" si="51"/>
        <v>95.507738370532451</v>
      </c>
    </row>
    <row r="266" spans="1:13" ht="18.75" customHeight="1">
      <c r="A266" s="22" t="s">
        <v>27</v>
      </c>
      <c r="B266" s="23">
        <v>606</v>
      </c>
      <c r="C266" s="24" t="s">
        <v>187</v>
      </c>
      <c r="D266" s="24" t="s">
        <v>113</v>
      </c>
      <c r="E266" s="24" t="s">
        <v>244</v>
      </c>
      <c r="F266" s="24" t="s">
        <v>18</v>
      </c>
      <c r="G266" s="20">
        <f t="shared" ref="G266:L266" si="62">G267+G268+G269</f>
        <v>6122.41</v>
      </c>
      <c r="H266" s="20">
        <f t="shared" si="62"/>
        <v>6097.02</v>
      </c>
      <c r="I266" s="20">
        <f t="shared" si="62"/>
        <v>6097.02</v>
      </c>
      <c r="J266" s="20">
        <f t="shared" si="62"/>
        <v>11.88</v>
      </c>
      <c r="K266" s="20">
        <f t="shared" si="62"/>
        <v>6074.29</v>
      </c>
      <c r="L266" s="69">
        <f t="shared" si="62"/>
        <v>5672.63</v>
      </c>
      <c r="M266" s="21">
        <f t="shared" si="51"/>
        <v>93.387539942939839</v>
      </c>
    </row>
    <row r="267" spans="1:13" ht="75">
      <c r="A267" s="22" t="s">
        <v>29</v>
      </c>
      <c r="B267" s="23">
        <v>606</v>
      </c>
      <c r="C267" s="24" t="s">
        <v>187</v>
      </c>
      <c r="D267" s="24" t="s">
        <v>113</v>
      </c>
      <c r="E267" s="24" t="s">
        <v>244</v>
      </c>
      <c r="F267" s="24" t="s">
        <v>30</v>
      </c>
      <c r="G267" s="20">
        <f>6303.46+504.7-1599.61</f>
        <v>5208.55</v>
      </c>
      <c r="H267" s="20">
        <f>6303.46+495.1-1599.61</f>
        <v>5198.9500000000007</v>
      </c>
      <c r="I267" s="20">
        <f>6303.46+495.1-1599.61</f>
        <v>5198.9500000000007</v>
      </c>
      <c r="J267" s="20"/>
      <c r="K267" s="20">
        <v>5108.55</v>
      </c>
      <c r="L267" s="70">
        <v>4772.16</v>
      </c>
      <c r="M267" s="21">
        <f t="shared" si="51"/>
        <v>93.415156942772398</v>
      </c>
    </row>
    <row r="268" spans="1:13" ht="40.5" customHeight="1">
      <c r="A268" s="22" t="s">
        <v>31</v>
      </c>
      <c r="B268" s="23">
        <v>606</v>
      </c>
      <c r="C268" s="32" t="s">
        <v>187</v>
      </c>
      <c r="D268" s="24" t="s">
        <v>113</v>
      </c>
      <c r="E268" s="24" t="s">
        <v>244</v>
      </c>
      <c r="F268" s="24" t="s">
        <v>32</v>
      </c>
      <c r="G268" s="20">
        <f>915-46.63+15.79</f>
        <v>884.16</v>
      </c>
      <c r="H268" s="20">
        <f>915-46.63</f>
        <v>868.37</v>
      </c>
      <c r="I268" s="20">
        <f>915-46.63</f>
        <v>868.37</v>
      </c>
      <c r="J268" s="20">
        <f>11.88</f>
        <v>11.88</v>
      </c>
      <c r="K268" s="20">
        <v>936.04</v>
      </c>
      <c r="L268" s="70">
        <v>874.35</v>
      </c>
      <c r="M268" s="21">
        <f t="shared" si="51"/>
        <v>93.409469680782877</v>
      </c>
    </row>
    <row r="269" spans="1:13" ht="18" customHeight="1">
      <c r="A269" s="22" t="s">
        <v>33</v>
      </c>
      <c r="B269" s="23">
        <v>606</v>
      </c>
      <c r="C269" s="32" t="s">
        <v>187</v>
      </c>
      <c r="D269" s="24" t="s">
        <v>113</v>
      </c>
      <c r="E269" s="24" t="s">
        <v>244</v>
      </c>
      <c r="F269" s="24" t="s">
        <v>34</v>
      </c>
      <c r="G269" s="20">
        <f>13.21+16.49</f>
        <v>29.7</v>
      </c>
      <c r="H269" s="20">
        <f>13.21+16.49</f>
        <v>29.7</v>
      </c>
      <c r="I269" s="20">
        <f>13.21+16.49</f>
        <v>29.7</v>
      </c>
      <c r="J269" s="20"/>
      <c r="K269" s="20">
        <v>29.7</v>
      </c>
      <c r="L269" s="70">
        <v>26.12</v>
      </c>
      <c r="M269" s="21">
        <f t="shared" si="51"/>
        <v>87.946127946127945</v>
      </c>
    </row>
    <row r="270" spans="1:13" ht="36" customHeight="1">
      <c r="A270" s="22" t="s">
        <v>245</v>
      </c>
      <c r="B270" s="23">
        <v>606</v>
      </c>
      <c r="C270" s="24" t="s">
        <v>187</v>
      </c>
      <c r="D270" s="24" t="s">
        <v>113</v>
      </c>
      <c r="E270" s="24" t="s">
        <v>246</v>
      </c>
      <c r="F270" s="24" t="s">
        <v>18</v>
      </c>
      <c r="G270" s="20">
        <f t="shared" ref="G270:L270" si="63">G271+G272+G273</f>
        <v>19106.990000000002</v>
      </c>
      <c r="H270" s="20">
        <f t="shared" si="63"/>
        <v>18821.650000000001</v>
      </c>
      <c r="I270" s="20">
        <f t="shared" si="63"/>
        <v>18922.240000000002</v>
      </c>
      <c r="J270" s="20">
        <f t="shared" si="63"/>
        <v>261.88</v>
      </c>
      <c r="K270" s="20">
        <f t="shared" si="63"/>
        <v>19482.77</v>
      </c>
      <c r="L270" s="69">
        <f t="shared" si="63"/>
        <v>18736.34</v>
      </c>
      <c r="M270" s="21">
        <f t="shared" si="51"/>
        <v>96.16876860939179</v>
      </c>
    </row>
    <row r="271" spans="1:13" s="40" customFormat="1" ht="77.25" customHeight="1">
      <c r="A271" s="22" t="s">
        <v>29</v>
      </c>
      <c r="B271" s="23">
        <v>606</v>
      </c>
      <c r="C271" s="24" t="s">
        <v>187</v>
      </c>
      <c r="D271" s="24" t="s">
        <v>113</v>
      </c>
      <c r="E271" s="24" t="s">
        <v>246</v>
      </c>
      <c r="F271" s="24" t="s">
        <v>30</v>
      </c>
      <c r="G271" s="20">
        <f>13556.85+1629.75</f>
        <v>15186.6</v>
      </c>
      <c r="H271" s="20">
        <f>13556.85+1629.75</f>
        <v>15186.6</v>
      </c>
      <c r="I271" s="20">
        <f>13556.85+1629.75</f>
        <v>15186.6</v>
      </c>
      <c r="J271" s="20"/>
      <c r="K271" s="20">
        <v>14999.2</v>
      </c>
      <c r="L271" s="72">
        <v>14569.85</v>
      </c>
      <c r="M271" s="21">
        <f t="shared" si="51"/>
        <v>97.137514000746705</v>
      </c>
    </row>
    <row r="272" spans="1:13" ht="36.75" customHeight="1">
      <c r="A272" s="22" t="s">
        <v>31</v>
      </c>
      <c r="B272" s="23">
        <v>606</v>
      </c>
      <c r="C272" s="24" t="s">
        <v>187</v>
      </c>
      <c r="D272" s="24" t="s">
        <v>113</v>
      </c>
      <c r="E272" s="24" t="s">
        <v>246</v>
      </c>
      <c r="F272" s="24" t="s">
        <v>32</v>
      </c>
      <c r="G272" s="20">
        <v>3790.08</v>
      </c>
      <c r="H272" s="20">
        <v>3504.74</v>
      </c>
      <c r="I272" s="20">
        <v>3605.33</v>
      </c>
      <c r="J272" s="20">
        <f>261.88</f>
        <v>261.88</v>
      </c>
      <c r="K272" s="20">
        <v>4351.96</v>
      </c>
      <c r="L272" s="69">
        <v>4045.4</v>
      </c>
      <c r="M272" s="21">
        <f t="shared" si="51"/>
        <v>92.955817608617735</v>
      </c>
    </row>
    <row r="273" spans="1:13" ht="21" customHeight="1">
      <c r="A273" s="22" t="s">
        <v>33</v>
      </c>
      <c r="B273" s="23">
        <v>606</v>
      </c>
      <c r="C273" s="24" t="s">
        <v>187</v>
      </c>
      <c r="D273" s="24" t="s">
        <v>113</v>
      </c>
      <c r="E273" s="24" t="s">
        <v>246</v>
      </c>
      <c r="F273" s="24" t="s">
        <v>34</v>
      </c>
      <c r="G273" s="20">
        <v>130.31</v>
      </c>
      <c r="H273" s="20">
        <v>130.31</v>
      </c>
      <c r="I273" s="20">
        <v>130.31</v>
      </c>
      <c r="J273" s="20"/>
      <c r="K273" s="20">
        <v>131.61000000000001</v>
      </c>
      <c r="L273" s="69">
        <v>121.09</v>
      </c>
      <c r="M273" s="21">
        <f t="shared" si="51"/>
        <v>92.006686422004407</v>
      </c>
    </row>
    <row r="274" spans="1:13" ht="18.600000000000001" customHeight="1">
      <c r="A274" s="22" t="s">
        <v>247</v>
      </c>
      <c r="B274" s="23">
        <v>606</v>
      </c>
      <c r="C274" s="24">
        <v>10</v>
      </c>
      <c r="D274" s="24" t="s">
        <v>18</v>
      </c>
      <c r="E274" s="24" t="s">
        <v>18</v>
      </c>
      <c r="F274" s="24" t="s">
        <v>18</v>
      </c>
      <c r="G274" s="20">
        <f>G275</f>
        <v>6216.7</v>
      </c>
      <c r="H274" s="20">
        <f t="shared" ref="H274:I278" si="64">H275</f>
        <v>6884.53</v>
      </c>
      <c r="I274" s="20">
        <f t="shared" si="64"/>
        <v>6884.53</v>
      </c>
      <c r="J274" s="20">
        <f t="shared" ref="J274:K278" si="65">J275</f>
        <v>0</v>
      </c>
      <c r="K274" s="20">
        <f t="shared" si="65"/>
        <v>9320.85</v>
      </c>
      <c r="L274" s="69">
        <f>SUM(L275)</f>
        <v>9312.64</v>
      </c>
      <c r="M274" s="21">
        <f t="shared" si="51"/>
        <v>99.911917904482948</v>
      </c>
    </row>
    <row r="275" spans="1:13" ht="18" customHeight="1">
      <c r="A275" s="22" t="s">
        <v>248</v>
      </c>
      <c r="B275" s="31">
        <v>606</v>
      </c>
      <c r="C275" s="24">
        <v>10</v>
      </c>
      <c r="D275" s="24" t="s">
        <v>52</v>
      </c>
      <c r="E275" s="24" t="s">
        <v>18</v>
      </c>
      <c r="F275" s="24" t="s">
        <v>18</v>
      </c>
      <c r="G275" s="20">
        <f>G276</f>
        <v>6216.7</v>
      </c>
      <c r="H275" s="20">
        <f t="shared" si="64"/>
        <v>6884.53</v>
      </c>
      <c r="I275" s="20">
        <f t="shared" si="64"/>
        <v>6884.53</v>
      </c>
      <c r="J275" s="20">
        <f t="shared" si="65"/>
        <v>0</v>
      </c>
      <c r="K275" s="20">
        <f t="shared" si="65"/>
        <v>9320.85</v>
      </c>
      <c r="L275" s="69">
        <f>SUM(L276)</f>
        <v>9312.64</v>
      </c>
      <c r="M275" s="21">
        <f t="shared" si="51"/>
        <v>99.911917904482948</v>
      </c>
    </row>
    <row r="276" spans="1:13" ht="18.75" customHeight="1">
      <c r="A276" s="22" t="s">
        <v>249</v>
      </c>
      <c r="B276" s="31">
        <v>606</v>
      </c>
      <c r="C276" s="24">
        <v>10</v>
      </c>
      <c r="D276" s="24" t="s">
        <v>52</v>
      </c>
      <c r="E276" s="24" t="s">
        <v>250</v>
      </c>
      <c r="F276" s="24" t="s">
        <v>18</v>
      </c>
      <c r="G276" s="20">
        <f>G277</f>
        <v>6216.7</v>
      </c>
      <c r="H276" s="20">
        <f t="shared" si="64"/>
        <v>6884.53</v>
      </c>
      <c r="I276" s="20">
        <f t="shared" si="64"/>
        <v>6884.53</v>
      </c>
      <c r="J276" s="20">
        <f t="shared" si="65"/>
        <v>0</v>
      </c>
      <c r="K276" s="20">
        <f t="shared" si="65"/>
        <v>9320.85</v>
      </c>
      <c r="L276" s="69">
        <f>SUM(L277)</f>
        <v>9312.64</v>
      </c>
      <c r="M276" s="21">
        <f t="shared" si="51"/>
        <v>99.911917904482948</v>
      </c>
    </row>
    <row r="277" spans="1:13" ht="39" customHeight="1">
      <c r="A277" s="22" t="s">
        <v>251</v>
      </c>
      <c r="B277" s="31">
        <v>606</v>
      </c>
      <c r="C277" s="24">
        <v>10</v>
      </c>
      <c r="D277" s="24" t="s">
        <v>52</v>
      </c>
      <c r="E277" s="24" t="s">
        <v>252</v>
      </c>
      <c r="F277" s="24" t="s">
        <v>18</v>
      </c>
      <c r="G277" s="20">
        <f>G278</f>
        <v>6216.7</v>
      </c>
      <c r="H277" s="20">
        <f t="shared" si="64"/>
        <v>6884.53</v>
      </c>
      <c r="I277" s="20">
        <f t="shared" si="64"/>
        <v>6884.53</v>
      </c>
      <c r="J277" s="20">
        <f t="shared" si="65"/>
        <v>0</v>
      </c>
      <c r="K277" s="20">
        <f t="shared" si="65"/>
        <v>9320.85</v>
      </c>
      <c r="L277" s="69">
        <f>SUM(L278)</f>
        <v>9312.64</v>
      </c>
      <c r="M277" s="21">
        <f t="shared" si="51"/>
        <v>99.911917904482948</v>
      </c>
    </row>
    <row r="278" spans="1:13" ht="76.5" customHeight="1">
      <c r="A278" s="22" t="s">
        <v>253</v>
      </c>
      <c r="B278" s="31">
        <v>606</v>
      </c>
      <c r="C278" s="24">
        <v>10</v>
      </c>
      <c r="D278" s="24" t="s">
        <v>52</v>
      </c>
      <c r="E278" s="24" t="s">
        <v>254</v>
      </c>
      <c r="F278" s="24" t="s">
        <v>18</v>
      </c>
      <c r="G278" s="20">
        <f>G279</f>
        <v>6216.7</v>
      </c>
      <c r="H278" s="20">
        <f t="shared" si="64"/>
        <v>6884.53</v>
      </c>
      <c r="I278" s="20">
        <f t="shared" si="64"/>
        <v>6884.53</v>
      </c>
      <c r="J278" s="20">
        <f t="shared" si="65"/>
        <v>0</v>
      </c>
      <c r="K278" s="20">
        <f t="shared" si="65"/>
        <v>9320.85</v>
      </c>
      <c r="L278" s="69">
        <f>SUM(L279)</f>
        <v>9312.64</v>
      </c>
      <c r="M278" s="21">
        <f t="shared" si="51"/>
        <v>99.911917904482948</v>
      </c>
    </row>
    <row r="279" spans="1:13" ht="18.75" customHeight="1">
      <c r="A279" s="22" t="s">
        <v>141</v>
      </c>
      <c r="B279" s="41">
        <v>606</v>
      </c>
      <c r="C279" s="25">
        <v>10</v>
      </c>
      <c r="D279" s="25" t="s">
        <v>52</v>
      </c>
      <c r="E279" s="25" t="s">
        <v>254</v>
      </c>
      <c r="F279" s="25" t="s">
        <v>142</v>
      </c>
      <c r="G279" s="20">
        <v>6216.7</v>
      </c>
      <c r="H279" s="20">
        <v>6884.53</v>
      </c>
      <c r="I279" s="20">
        <v>6884.53</v>
      </c>
      <c r="J279" s="20"/>
      <c r="K279" s="20">
        <v>9320.85</v>
      </c>
      <c r="L279" s="69">
        <v>9312.64</v>
      </c>
      <c r="M279" s="21">
        <f t="shared" si="51"/>
        <v>99.911917904482948</v>
      </c>
    </row>
    <row r="280" spans="1:13" ht="15" customHeight="1">
      <c r="A280" s="22"/>
      <c r="B280" s="23"/>
      <c r="C280" s="24"/>
      <c r="D280" s="24"/>
      <c r="E280" s="24"/>
      <c r="F280" s="24"/>
      <c r="G280" s="20"/>
      <c r="H280" s="20"/>
      <c r="I280" s="20"/>
      <c r="J280" s="20"/>
      <c r="K280" s="20"/>
      <c r="M280" s="21"/>
    </row>
    <row r="281" spans="1:13" ht="39.75" customHeight="1">
      <c r="A281" s="27" t="s">
        <v>255</v>
      </c>
      <c r="B281" s="23">
        <v>609</v>
      </c>
      <c r="C281" s="24" t="s">
        <v>18</v>
      </c>
      <c r="D281" s="24" t="s">
        <v>18</v>
      </c>
      <c r="E281" s="24" t="s">
        <v>18</v>
      </c>
      <c r="F281" s="24" t="s">
        <v>18</v>
      </c>
      <c r="G281" s="19"/>
      <c r="H281" s="19"/>
      <c r="I281" s="19"/>
      <c r="J281" s="19"/>
      <c r="K281" s="20">
        <f>K282+K289</f>
        <v>387423.89999999997</v>
      </c>
      <c r="L281" s="69">
        <f>L282+L289</f>
        <v>387273.89999999997</v>
      </c>
      <c r="M281" s="73">
        <f t="shared" si="51"/>
        <v>99.961282719006235</v>
      </c>
    </row>
    <row r="282" spans="1:13">
      <c r="A282" s="27" t="s">
        <v>120</v>
      </c>
      <c r="B282" s="23">
        <v>609</v>
      </c>
      <c r="C282" s="24" t="s">
        <v>52</v>
      </c>
      <c r="D282" s="24" t="s">
        <v>18</v>
      </c>
      <c r="E282" s="24"/>
      <c r="F282" s="24"/>
      <c r="G282" s="19"/>
      <c r="H282" s="19"/>
      <c r="I282" s="19"/>
      <c r="J282" s="19"/>
      <c r="K282" s="20">
        <f>K283</f>
        <v>628.79999999999995</v>
      </c>
      <c r="L282" s="69">
        <f>L283</f>
        <v>628.79999999999995</v>
      </c>
      <c r="M282" s="73">
        <f t="shared" si="51"/>
        <v>100</v>
      </c>
    </row>
    <row r="283" spans="1:13" ht="20.25" customHeight="1">
      <c r="A283" s="27" t="s">
        <v>256</v>
      </c>
      <c r="B283" s="23">
        <v>609</v>
      </c>
      <c r="C283" s="24" t="s">
        <v>52</v>
      </c>
      <c r="D283" s="24" t="s">
        <v>20</v>
      </c>
      <c r="E283" s="24"/>
      <c r="F283" s="24"/>
      <c r="G283" s="19"/>
      <c r="H283" s="19"/>
      <c r="I283" s="19"/>
      <c r="J283" s="19"/>
      <c r="K283" s="20">
        <f>K284</f>
        <v>628.79999999999995</v>
      </c>
      <c r="L283" s="69">
        <f>SUM(L284)</f>
        <v>628.79999999999995</v>
      </c>
      <c r="M283" s="73">
        <f t="shared" si="51"/>
        <v>100</v>
      </c>
    </row>
    <row r="284" spans="1:13" ht="56.25" customHeight="1">
      <c r="A284" s="27" t="s">
        <v>257</v>
      </c>
      <c r="B284" s="23">
        <v>609</v>
      </c>
      <c r="C284" s="24" t="s">
        <v>52</v>
      </c>
      <c r="D284" s="24" t="s">
        <v>20</v>
      </c>
      <c r="E284" s="24" t="s">
        <v>258</v>
      </c>
      <c r="F284" s="24"/>
      <c r="G284" s="19"/>
      <c r="H284" s="19"/>
      <c r="I284" s="19"/>
      <c r="J284" s="19"/>
      <c r="K284" s="20">
        <f>K285</f>
        <v>628.79999999999995</v>
      </c>
      <c r="L284" s="69">
        <f>SUM(L285)</f>
        <v>628.79999999999995</v>
      </c>
      <c r="M284" s="73">
        <f t="shared" si="51"/>
        <v>100</v>
      </c>
    </row>
    <row r="285" spans="1:13" ht="39.75" customHeight="1">
      <c r="A285" s="27" t="s">
        <v>259</v>
      </c>
      <c r="B285" s="23">
        <v>609</v>
      </c>
      <c r="C285" s="24" t="s">
        <v>52</v>
      </c>
      <c r="D285" s="24" t="s">
        <v>20</v>
      </c>
      <c r="E285" s="24" t="s">
        <v>260</v>
      </c>
      <c r="F285" s="24"/>
      <c r="G285" s="19"/>
      <c r="H285" s="19"/>
      <c r="I285" s="19"/>
      <c r="J285" s="19"/>
      <c r="K285" s="20">
        <f>K286</f>
        <v>628.79999999999995</v>
      </c>
      <c r="L285" s="69">
        <f>SUM(L286)</f>
        <v>628.79999999999995</v>
      </c>
      <c r="M285" s="73">
        <f t="shared" ref="M285:M348" si="66">SUM(L285/K285*100)</f>
        <v>100</v>
      </c>
    </row>
    <row r="286" spans="1:13" ht="39.75" customHeight="1">
      <c r="A286" s="27" t="s">
        <v>261</v>
      </c>
      <c r="B286" s="23">
        <v>609</v>
      </c>
      <c r="C286" s="24" t="s">
        <v>52</v>
      </c>
      <c r="D286" s="24" t="s">
        <v>20</v>
      </c>
      <c r="E286" s="24" t="s">
        <v>262</v>
      </c>
      <c r="F286" s="24" t="s">
        <v>18</v>
      </c>
      <c r="G286" s="20"/>
      <c r="H286" s="20"/>
      <c r="I286" s="20"/>
      <c r="J286" s="20"/>
      <c r="K286" s="20">
        <f>K287+K288</f>
        <v>628.79999999999995</v>
      </c>
      <c r="L286" s="69">
        <f>SUM(L287:L288)</f>
        <v>628.79999999999995</v>
      </c>
      <c r="M286" s="73">
        <f t="shared" si="66"/>
        <v>100</v>
      </c>
    </row>
    <row r="287" spans="1:13" ht="80.25" customHeight="1">
      <c r="A287" s="27" t="s">
        <v>29</v>
      </c>
      <c r="B287" s="23">
        <v>609</v>
      </c>
      <c r="C287" s="24" t="s">
        <v>52</v>
      </c>
      <c r="D287" s="24" t="s">
        <v>20</v>
      </c>
      <c r="E287" s="24" t="s">
        <v>262</v>
      </c>
      <c r="F287" s="24" t="s">
        <v>30</v>
      </c>
      <c r="G287" s="20"/>
      <c r="H287" s="20"/>
      <c r="I287" s="20"/>
      <c r="J287" s="20"/>
      <c r="K287" s="20">
        <v>589.29</v>
      </c>
      <c r="L287" s="69">
        <v>589.29</v>
      </c>
      <c r="M287" s="73">
        <f t="shared" si="66"/>
        <v>100</v>
      </c>
    </row>
    <row r="288" spans="1:13" ht="39.75" customHeight="1">
      <c r="A288" s="27" t="s">
        <v>31</v>
      </c>
      <c r="B288" s="23">
        <v>609</v>
      </c>
      <c r="C288" s="24" t="s">
        <v>52</v>
      </c>
      <c r="D288" s="24" t="s">
        <v>20</v>
      </c>
      <c r="E288" s="24" t="s">
        <v>262</v>
      </c>
      <c r="F288" s="24" t="s">
        <v>32</v>
      </c>
      <c r="G288" s="20"/>
      <c r="H288" s="20"/>
      <c r="I288" s="20"/>
      <c r="J288" s="20"/>
      <c r="K288" s="20">
        <v>39.51</v>
      </c>
      <c r="L288" s="69">
        <v>39.51</v>
      </c>
      <c r="M288" s="73">
        <f t="shared" si="66"/>
        <v>100</v>
      </c>
    </row>
    <row r="289" spans="1:13" ht="18.75" customHeight="1">
      <c r="A289" s="48" t="s">
        <v>247</v>
      </c>
      <c r="B289" s="31">
        <v>609</v>
      </c>
      <c r="C289" s="32" t="s">
        <v>263</v>
      </c>
      <c r="D289" s="32" t="s">
        <v>18</v>
      </c>
      <c r="E289" s="32" t="s">
        <v>18</v>
      </c>
      <c r="F289" s="32" t="s">
        <v>18</v>
      </c>
      <c r="G289" s="20"/>
      <c r="H289" s="20"/>
      <c r="I289" s="20"/>
      <c r="J289" s="20"/>
      <c r="K289" s="20">
        <f>K290+K329+K338</f>
        <v>386795.1</v>
      </c>
      <c r="L289" s="69">
        <f>L290+L329+L338</f>
        <v>386645.1</v>
      </c>
      <c r="M289" s="73">
        <f t="shared" si="66"/>
        <v>99.961219777603176</v>
      </c>
    </row>
    <row r="290" spans="1:13" ht="18.75" customHeight="1">
      <c r="A290" s="48" t="s">
        <v>264</v>
      </c>
      <c r="B290" s="31">
        <v>609</v>
      </c>
      <c r="C290" s="32" t="s">
        <v>263</v>
      </c>
      <c r="D290" s="32" t="s">
        <v>22</v>
      </c>
      <c r="E290" s="32" t="s">
        <v>18</v>
      </c>
      <c r="F290" s="32" t="s">
        <v>18</v>
      </c>
      <c r="G290" s="20"/>
      <c r="H290" s="20"/>
      <c r="I290" s="20"/>
      <c r="J290" s="20"/>
      <c r="K290" s="20">
        <f>K291</f>
        <v>335659.69</v>
      </c>
      <c r="L290" s="70">
        <f>L291</f>
        <v>335601.33999999997</v>
      </c>
      <c r="M290" s="73">
        <f t="shared" si="66"/>
        <v>99.982616321906264</v>
      </c>
    </row>
    <row r="291" spans="1:13" ht="40.15" customHeight="1">
      <c r="A291" s="27" t="s">
        <v>257</v>
      </c>
      <c r="B291" s="31">
        <v>609</v>
      </c>
      <c r="C291" s="32" t="s">
        <v>263</v>
      </c>
      <c r="D291" s="32" t="s">
        <v>22</v>
      </c>
      <c r="E291" s="32" t="s">
        <v>258</v>
      </c>
      <c r="F291" s="32"/>
      <c r="G291" s="20"/>
      <c r="H291" s="20"/>
      <c r="I291" s="20"/>
      <c r="J291" s="20"/>
      <c r="K291" s="20">
        <f>K292+K323</f>
        <v>335659.69</v>
      </c>
      <c r="L291" s="70">
        <f>L292+L323</f>
        <v>335601.33999999997</v>
      </c>
      <c r="M291" s="73">
        <f t="shared" si="66"/>
        <v>99.982616321906264</v>
      </c>
    </row>
    <row r="292" spans="1:13" ht="37.5" customHeight="1">
      <c r="A292" s="48" t="s">
        <v>265</v>
      </c>
      <c r="B292" s="31">
        <v>609</v>
      </c>
      <c r="C292" s="32" t="s">
        <v>263</v>
      </c>
      <c r="D292" s="32" t="s">
        <v>22</v>
      </c>
      <c r="E292" s="32" t="s">
        <v>266</v>
      </c>
      <c r="F292" s="32"/>
      <c r="G292" s="20"/>
      <c r="H292" s="20"/>
      <c r="I292" s="20"/>
      <c r="J292" s="20"/>
      <c r="K292" s="20">
        <f>K293+K297+K299+K301+K303+K305+K307+K309+K311+K313+K315+K317+K319+K321</f>
        <v>335229.69</v>
      </c>
      <c r="L292" s="70">
        <f>L293+L297+L299+L301+L303+L305+L307+L309+L311+L313+L315+L317+L319+L321</f>
        <v>335173.58999999997</v>
      </c>
      <c r="M292" s="73">
        <f t="shared" si="66"/>
        <v>99.983265205417808</v>
      </c>
    </row>
    <row r="293" spans="1:13" ht="37.5" customHeight="1">
      <c r="A293" s="48" t="s">
        <v>267</v>
      </c>
      <c r="B293" s="31">
        <v>609</v>
      </c>
      <c r="C293" s="32" t="s">
        <v>263</v>
      </c>
      <c r="D293" s="32" t="s">
        <v>22</v>
      </c>
      <c r="E293" s="32" t="s">
        <v>268</v>
      </c>
      <c r="F293" s="32"/>
      <c r="G293" s="20"/>
      <c r="H293" s="20"/>
      <c r="I293" s="20"/>
      <c r="J293" s="20"/>
      <c r="K293" s="20">
        <f>K294+K295+K296</f>
        <v>50714.7</v>
      </c>
      <c r="L293" s="69">
        <f>SUM(L294:L296)</f>
        <v>50714.7</v>
      </c>
      <c r="M293" s="73">
        <f t="shared" si="66"/>
        <v>100</v>
      </c>
    </row>
    <row r="294" spans="1:13" ht="75" customHeight="1">
      <c r="A294" s="27" t="s">
        <v>29</v>
      </c>
      <c r="B294" s="31">
        <v>609</v>
      </c>
      <c r="C294" s="32" t="s">
        <v>263</v>
      </c>
      <c r="D294" s="32" t="s">
        <v>22</v>
      </c>
      <c r="E294" s="32" t="s">
        <v>268</v>
      </c>
      <c r="F294" s="32" t="s">
        <v>30</v>
      </c>
      <c r="G294" s="20"/>
      <c r="H294" s="20"/>
      <c r="I294" s="20"/>
      <c r="J294" s="20"/>
      <c r="K294" s="20">
        <v>348</v>
      </c>
      <c r="L294" s="69">
        <v>348</v>
      </c>
      <c r="M294" s="73">
        <f t="shared" si="66"/>
        <v>100</v>
      </c>
    </row>
    <row r="295" spans="1:13" ht="40.5" customHeight="1">
      <c r="A295" s="27" t="s">
        <v>31</v>
      </c>
      <c r="B295" s="31">
        <v>609</v>
      </c>
      <c r="C295" s="32" t="s">
        <v>263</v>
      </c>
      <c r="D295" s="32" t="s">
        <v>22</v>
      </c>
      <c r="E295" s="32" t="s">
        <v>268</v>
      </c>
      <c r="F295" s="32" t="s">
        <v>32</v>
      </c>
      <c r="G295" s="20"/>
      <c r="H295" s="20"/>
      <c r="I295" s="20"/>
      <c r="J295" s="20"/>
      <c r="K295" s="20">
        <v>10</v>
      </c>
      <c r="L295" s="69">
        <v>10</v>
      </c>
      <c r="M295" s="21">
        <f t="shared" si="66"/>
        <v>100</v>
      </c>
    </row>
    <row r="296" spans="1:13" ht="20.25" customHeight="1">
      <c r="A296" s="27" t="s">
        <v>141</v>
      </c>
      <c r="B296" s="31">
        <v>609</v>
      </c>
      <c r="C296" s="32" t="s">
        <v>263</v>
      </c>
      <c r="D296" s="32" t="s">
        <v>22</v>
      </c>
      <c r="E296" s="32" t="s">
        <v>268</v>
      </c>
      <c r="F296" s="32" t="s">
        <v>142</v>
      </c>
      <c r="G296" s="20"/>
      <c r="H296" s="20"/>
      <c r="I296" s="20"/>
      <c r="J296" s="20"/>
      <c r="K296" s="20">
        <v>50356.7</v>
      </c>
      <c r="L296" s="69">
        <v>50356.7</v>
      </c>
      <c r="M296" s="21">
        <f t="shared" si="66"/>
        <v>100</v>
      </c>
    </row>
    <row r="297" spans="1:13" ht="57.75" customHeight="1">
      <c r="A297" s="48" t="s">
        <v>269</v>
      </c>
      <c r="B297" s="31">
        <v>609</v>
      </c>
      <c r="C297" s="32" t="s">
        <v>263</v>
      </c>
      <c r="D297" s="32" t="s">
        <v>22</v>
      </c>
      <c r="E297" s="32" t="s">
        <v>270</v>
      </c>
      <c r="F297" s="32"/>
      <c r="G297" s="20"/>
      <c r="H297" s="20"/>
      <c r="I297" s="20"/>
      <c r="J297" s="20"/>
      <c r="K297" s="20">
        <f>K298</f>
        <v>27.9</v>
      </c>
      <c r="L297" s="69">
        <f>SUM(L298)</f>
        <v>4.95</v>
      </c>
      <c r="M297" s="21">
        <f t="shared" si="66"/>
        <v>17.741935483870968</v>
      </c>
    </row>
    <row r="298" spans="1:13" ht="19.5" customHeight="1">
      <c r="A298" s="27" t="s">
        <v>141</v>
      </c>
      <c r="B298" s="31">
        <v>609</v>
      </c>
      <c r="C298" s="32" t="s">
        <v>263</v>
      </c>
      <c r="D298" s="32" t="s">
        <v>22</v>
      </c>
      <c r="E298" s="32" t="s">
        <v>270</v>
      </c>
      <c r="F298" s="32" t="s">
        <v>142</v>
      </c>
      <c r="G298" s="20"/>
      <c r="H298" s="20"/>
      <c r="I298" s="20"/>
      <c r="J298" s="20"/>
      <c r="K298" s="20">
        <v>27.9</v>
      </c>
      <c r="L298" s="69">
        <v>4.95</v>
      </c>
      <c r="M298" s="21">
        <f t="shared" si="66"/>
        <v>17.741935483870968</v>
      </c>
    </row>
    <row r="299" spans="1:13" ht="132.75" customHeight="1">
      <c r="A299" s="55" t="s">
        <v>468</v>
      </c>
      <c r="B299" s="31">
        <v>609</v>
      </c>
      <c r="C299" s="31">
        <v>10</v>
      </c>
      <c r="D299" s="32" t="s">
        <v>22</v>
      </c>
      <c r="E299" s="31" t="s">
        <v>467</v>
      </c>
      <c r="F299" s="31" t="s">
        <v>18</v>
      </c>
      <c r="G299" s="20"/>
      <c r="H299" s="20"/>
      <c r="I299" s="20"/>
      <c r="J299" s="20"/>
      <c r="K299" s="20">
        <f>K300</f>
        <v>30670.19</v>
      </c>
      <c r="L299" s="69">
        <f>SUM(L300)</f>
        <v>30637.43</v>
      </c>
      <c r="M299" s="21">
        <f t="shared" si="66"/>
        <v>99.893186185022003</v>
      </c>
    </row>
    <row r="300" spans="1:13" ht="19.5" customHeight="1">
      <c r="A300" s="27" t="s">
        <v>141</v>
      </c>
      <c r="B300" s="31">
        <v>609</v>
      </c>
      <c r="C300" s="31">
        <v>10</v>
      </c>
      <c r="D300" s="32" t="s">
        <v>22</v>
      </c>
      <c r="E300" s="31" t="s">
        <v>467</v>
      </c>
      <c r="F300" s="32" t="s">
        <v>142</v>
      </c>
      <c r="G300" s="20"/>
      <c r="H300" s="20"/>
      <c r="I300" s="20"/>
      <c r="J300" s="20"/>
      <c r="K300" s="20">
        <v>30670.19</v>
      </c>
      <c r="L300" s="69">
        <v>30637.43</v>
      </c>
      <c r="M300" s="21">
        <f t="shared" si="66"/>
        <v>99.893186185022003</v>
      </c>
    </row>
    <row r="301" spans="1:13" ht="56.25" hidden="1">
      <c r="A301" s="48" t="s">
        <v>271</v>
      </c>
      <c r="B301" s="31">
        <v>609</v>
      </c>
      <c r="C301" s="31">
        <v>10</v>
      </c>
      <c r="D301" s="32" t="s">
        <v>22</v>
      </c>
      <c r="E301" s="31" t="s">
        <v>272</v>
      </c>
      <c r="F301" s="31" t="s">
        <v>18</v>
      </c>
      <c r="G301" s="20"/>
      <c r="H301" s="20"/>
      <c r="I301" s="20"/>
      <c r="J301" s="20"/>
      <c r="K301" s="20">
        <f>K302</f>
        <v>0</v>
      </c>
      <c r="L301" s="62">
        <f>SUM(L302)</f>
        <v>0</v>
      </c>
      <c r="M301" s="21" t="e">
        <f t="shared" si="66"/>
        <v>#DIV/0!</v>
      </c>
    </row>
    <row r="302" spans="1:13" hidden="1">
      <c r="A302" s="27" t="s">
        <v>141</v>
      </c>
      <c r="B302" s="31">
        <v>609</v>
      </c>
      <c r="C302" s="31">
        <v>10</v>
      </c>
      <c r="D302" s="32" t="s">
        <v>22</v>
      </c>
      <c r="E302" s="31" t="s">
        <v>272</v>
      </c>
      <c r="F302" s="32" t="s">
        <v>142</v>
      </c>
      <c r="G302" s="20"/>
      <c r="H302" s="20"/>
      <c r="I302" s="20"/>
      <c r="J302" s="20"/>
      <c r="K302" s="20">
        <v>0</v>
      </c>
      <c r="L302" s="65">
        <v>0</v>
      </c>
      <c r="M302" s="21" t="e">
        <f t="shared" si="66"/>
        <v>#DIV/0!</v>
      </c>
    </row>
    <row r="303" spans="1:13" ht="37.5">
      <c r="A303" s="48" t="s">
        <v>273</v>
      </c>
      <c r="B303" s="31">
        <v>609</v>
      </c>
      <c r="C303" s="31">
        <v>10</v>
      </c>
      <c r="D303" s="32" t="s">
        <v>22</v>
      </c>
      <c r="E303" s="31" t="s">
        <v>274</v>
      </c>
      <c r="F303" s="31" t="s">
        <v>18</v>
      </c>
      <c r="G303" s="20"/>
      <c r="H303" s="20"/>
      <c r="I303" s="20"/>
      <c r="J303" s="20"/>
      <c r="K303" s="20">
        <f>K304</f>
        <v>42105.02</v>
      </c>
      <c r="L303" s="69">
        <f>SUM(L304)</f>
        <v>42105.02</v>
      </c>
      <c r="M303" s="21">
        <f t="shared" si="66"/>
        <v>100</v>
      </c>
    </row>
    <row r="304" spans="1:13">
      <c r="A304" s="27" t="s">
        <v>141</v>
      </c>
      <c r="B304" s="31">
        <v>609</v>
      </c>
      <c r="C304" s="31">
        <v>10</v>
      </c>
      <c r="D304" s="32" t="s">
        <v>22</v>
      </c>
      <c r="E304" s="31" t="s">
        <v>274</v>
      </c>
      <c r="F304" s="32" t="s">
        <v>142</v>
      </c>
      <c r="G304" s="20"/>
      <c r="H304" s="20"/>
      <c r="I304" s="20"/>
      <c r="J304" s="20"/>
      <c r="K304" s="20">
        <v>42105.02</v>
      </c>
      <c r="L304" s="69">
        <v>42105.02</v>
      </c>
      <c r="M304" s="21">
        <f t="shared" si="66"/>
        <v>100</v>
      </c>
    </row>
    <row r="305" spans="1:13" ht="37.5">
      <c r="A305" s="48" t="s">
        <v>275</v>
      </c>
      <c r="B305" s="31">
        <v>609</v>
      </c>
      <c r="C305" s="31">
        <v>10</v>
      </c>
      <c r="D305" s="32" t="s">
        <v>22</v>
      </c>
      <c r="E305" s="31" t="s">
        <v>276</v>
      </c>
      <c r="F305" s="31" t="s">
        <v>18</v>
      </c>
      <c r="G305" s="20"/>
      <c r="H305" s="20"/>
      <c r="I305" s="20"/>
      <c r="J305" s="20"/>
      <c r="K305" s="20">
        <f>K306</f>
        <v>2716.49</v>
      </c>
      <c r="L305" s="69">
        <f>SUM(L306)</f>
        <v>2716.49</v>
      </c>
      <c r="M305" s="21">
        <f t="shared" si="66"/>
        <v>100</v>
      </c>
    </row>
    <row r="306" spans="1:13">
      <c r="A306" s="27" t="s">
        <v>141</v>
      </c>
      <c r="B306" s="31">
        <v>609</v>
      </c>
      <c r="C306" s="31">
        <v>10</v>
      </c>
      <c r="D306" s="32" t="s">
        <v>22</v>
      </c>
      <c r="E306" s="31" t="s">
        <v>276</v>
      </c>
      <c r="F306" s="32" t="s">
        <v>142</v>
      </c>
      <c r="G306" s="20"/>
      <c r="H306" s="20"/>
      <c r="I306" s="20"/>
      <c r="J306" s="20"/>
      <c r="K306" s="20">
        <v>2716.49</v>
      </c>
      <c r="L306" s="69">
        <v>2716.49</v>
      </c>
      <c r="M306" s="21">
        <f t="shared" si="66"/>
        <v>100</v>
      </c>
    </row>
    <row r="307" spans="1:13" ht="39.75" customHeight="1">
      <c r="A307" s="48" t="s">
        <v>277</v>
      </c>
      <c r="B307" s="31">
        <v>609</v>
      </c>
      <c r="C307" s="31">
        <v>10</v>
      </c>
      <c r="D307" s="32" t="s">
        <v>22</v>
      </c>
      <c r="E307" s="31" t="s">
        <v>278</v>
      </c>
      <c r="F307" s="31" t="s">
        <v>18</v>
      </c>
      <c r="G307" s="20"/>
      <c r="H307" s="20"/>
      <c r="I307" s="20"/>
      <c r="J307" s="20"/>
      <c r="K307" s="20">
        <f>K308</f>
        <v>1752.92</v>
      </c>
      <c r="L307" s="69">
        <f>SUM(L308)</f>
        <v>1752.87</v>
      </c>
      <c r="M307" s="21">
        <f t="shared" si="66"/>
        <v>99.997147616548375</v>
      </c>
    </row>
    <row r="308" spans="1:13">
      <c r="A308" s="27" t="s">
        <v>141</v>
      </c>
      <c r="B308" s="31">
        <v>609</v>
      </c>
      <c r="C308" s="31">
        <v>10</v>
      </c>
      <c r="D308" s="32" t="s">
        <v>22</v>
      </c>
      <c r="E308" s="31" t="s">
        <v>278</v>
      </c>
      <c r="F308" s="32" t="s">
        <v>142</v>
      </c>
      <c r="G308" s="20"/>
      <c r="H308" s="20"/>
      <c r="I308" s="20"/>
      <c r="J308" s="20"/>
      <c r="K308" s="20">
        <v>1752.92</v>
      </c>
      <c r="L308" s="69">
        <v>1752.87</v>
      </c>
      <c r="M308" s="21">
        <f t="shared" si="66"/>
        <v>99.997147616548375</v>
      </c>
    </row>
    <row r="309" spans="1:13">
      <c r="A309" s="48" t="s">
        <v>279</v>
      </c>
      <c r="B309" s="31">
        <v>609</v>
      </c>
      <c r="C309" s="31">
        <v>10</v>
      </c>
      <c r="D309" s="32" t="s">
        <v>22</v>
      </c>
      <c r="E309" s="31" t="s">
        <v>280</v>
      </c>
      <c r="F309" s="31" t="s">
        <v>18</v>
      </c>
      <c r="G309" s="20"/>
      <c r="H309" s="20"/>
      <c r="I309" s="20"/>
      <c r="J309" s="20"/>
      <c r="K309" s="20">
        <f>K310</f>
        <v>420.19</v>
      </c>
      <c r="L309" s="69">
        <f>SUM(L310)</f>
        <v>420.18</v>
      </c>
      <c r="M309" s="21">
        <f t="shared" si="66"/>
        <v>99.997620124229513</v>
      </c>
    </row>
    <row r="310" spans="1:13">
      <c r="A310" s="27" t="s">
        <v>141</v>
      </c>
      <c r="B310" s="31">
        <v>609</v>
      </c>
      <c r="C310" s="31">
        <v>10</v>
      </c>
      <c r="D310" s="32" t="s">
        <v>22</v>
      </c>
      <c r="E310" s="31" t="s">
        <v>280</v>
      </c>
      <c r="F310" s="32" t="s">
        <v>142</v>
      </c>
      <c r="G310" s="20"/>
      <c r="H310" s="20"/>
      <c r="I310" s="20"/>
      <c r="J310" s="20"/>
      <c r="K310" s="20">
        <v>420.19</v>
      </c>
      <c r="L310" s="69">
        <v>420.18</v>
      </c>
      <c r="M310" s="21">
        <f t="shared" si="66"/>
        <v>99.997620124229513</v>
      </c>
    </row>
    <row r="311" spans="1:13" ht="37.5">
      <c r="A311" s="48" t="s">
        <v>281</v>
      </c>
      <c r="B311" s="31">
        <v>609</v>
      </c>
      <c r="C311" s="31">
        <v>10</v>
      </c>
      <c r="D311" s="32" t="s">
        <v>22</v>
      </c>
      <c r="E311" s="31" t="s">
        <v>282</v>
      </c>
      <c r="F311" s="31" t="s">
        <v>18</v>
      </c>
      <c r="G311" s="20"/>
      <c r="H311" s="20"/>
      <c r="I311" s="20"/>
      <c r="J311" s="20"/>
      <c r="K311" s="20">
        <f>K312</f>
        <v>46.64</v>
      </c>
      <c r="L311" s="69">
        <f>SUM(L312)</f>
        <v>46.64</v>
      </c>
      <c r="M311" s="21">
        <f t="shared" si="66"/>
        <v>100</v>
      </c>
    </row>
    <row r="312" spans="1:13">
      <c r="A312" s="27" t="s">
        <v>141</v>
      </c>
      <c r="B312" s="31">
        <v>609</v>
      </c>
      <c r="C312" s="31">
        <v>10</v>
      </c>
      <c r="D312" s="32" t="s">
        <v>22</v>
      </c>
      <c r="E312" s="31" t="s">
        <v>282</v>
      </c>
      <c r="F312" s="32" t="s">
        <v>142</v>
      </c>
      <c r="G312" s="20"/>
      <c r="H312" s="20"/>
      <c r="I312" s="20"/>
      <c r="J312" s="20"/>
      <c r="K312" s="20">
        <v>46.64</v>
      </c>
      <c r="L312" s="69">
        <v>46.64</v>
      </c>
      <c r="M312" s="21">
        <f t="shared" si="66"/>
        <v>100</v>
      </c>
    </row>
    <row r="313" spans="1:13">
      <c r="A313" s="48" t="s">
        <v>283</v>
      </c>
      <c r="B313" s="31">
        <v>609</v>
      </c>
      <c r="C313" s="31">
        <v>10</v>
      </c>
      <c r="D313" s="32" t="s">
        <v>22</v>
      </c>
      <c r="E313" s="31" t="s">
        <v>284</v>
      </c>
      <c r="F313" s="31" t="s">
        <v>18</v>
      </c>
      <c r="G313" s="20"/>
      <c r="H313" s="20"/>
      <c r="I313" s="20"/>
      <c r="J313" s="20"/>
      <c r="K313" s="20">
        <f>K314</f>
        <v>5687.63</v>
      </c>
      <c r="L313" s="69">
        <f>SUM(L314)</f>
        <v>5687.4</v>
      </c>
      <c r="M313" s="21">
        <f t="shared" si="66"/>
        <v>99.995956136387193</v>
      </c>
    </row>
    <row r="314" spans="1:13" ht="18.75" customHeight="1">
      <c r="A314" s="27" t="s">
        <v>141</v>
      </c>
      <c r="B314" s="31">
        <v>609</v>
      </c>
      <c r="C314" s="31">
        <v>10</v>
      </c>
      <c r="D314" s="32" t="s">
        <v>22</v>
      </c>
      <c r="E314" s="31" t="s">
        <v>284</v>
      </c>
      <c r="F314" s="32" t="s">
        <v>142</v>
      </c>
      <c r="G314" s="20"/>
      <c r="H314" s="20"/>
      <c r="I314" s="20"/>
      <c r="J314" s="20"/>
      <c r="K314" s="20">
        <v>5687.63</v>
      </c>
      <c r="L314" s="69">
        <v>5687.4</v>
      </c>
      <c r="M314" s="21">
        <f t="shared" si="66"/>
        <v>99.995956136387193</v>
      </c>
    </row>
    <row r="315" spans="1:13" ht="41.25" customHeight="1">
      <c r="A315" s="48" t="s">
        <v>285</v>
      </c>
      <c r="B315" s="31">
        <v>609</v>
      </c>
      <c r="C315" s="31">
        <v>10</v>
      </c>
      <c r="D315" s="32" t="s">
        <v>22</v>
      </c>
      <c r="E315" s="31" t="s">
        <v>286</v>
      </c>
      <c r="F315" s="31" t="s">
        <v>18</v>
      </c>
      <c r="G315" s="20"/>
      <c r="H315" s="20"/>
      <c r="I315" s="20"/>
      <c r="J315" s="20"/>
      <c r="K315" s="20">
        <f>K316</f>
        <v>117601.5</v>
      </c>
      <c r="L315" s="69">
        <f>SUM(L316)</f>
        <v>117601.5</v>
      </c>
      <c r="M315" s="21">
        <f t="shared" si="66"/>
        <v>100</v>
      </c>
    </row>
    <row r="316" spans="1:13" ht="19.5" customHeight="1">
      <c r="A316" s="27" t="s">
        <v>141</v>
      </c>
      <c r="B316" s="31">
        <v>609</v>
      </c>
      <c r="C316" s="31">
        <v>10</v>
      </c>
      <c r="D316" s="32" t="s">
        <v>22</v>
      </c>
      <c r="E316" s="31" t="s">
        <v>286</v>
      </c>
      <c r="F316" s="32" t="s">
        <v>142</v>
      </c>
      <c r="G316" s="20"/>
      <c r="H316" s="20"/>
      <c r="I316" s="20"/>
      <c r="J316" s="20"/>
      <c r="K316" s="20">
        <v>117601.5</v>
      </c>
      <c r="L316" s="69">
        <v>117601.5</v>
      </c>
      <c r="M316" s="21">
        <f t="shared" si="66"/>
        <v>100</v>
      </c>
    </row>
    <row r="317" spans="1:13" ht="39.75" customHeight="1">
      <c r="A317" s="48" t="s">
        <v>287</v>
      </c>
      <c r="B317" s="31">
        <v>609</v>
      </c>
      <c r="C317" s="31">
        <v>10</v>
      </c>
      <c r="D317" s="32" t="s">
        <v>22</v>
      </c>
      <c r="E317" s="31" t="s">
        <v>288</v>
      </c>
      <c r="F317" s="31" t="s">
        <v>18</v>
      </c>
      <c r="G317" s="20"/>
      <c r="H317" s="20"/>
      <c r="I317" s="20"/>
      <c r="J317" s="20"/>
      <c r="K317" s="20">
        <f>K318</f>
        <v>83418.880000000005</v>
      </c>
      <c r="L317" s="69">
        <f>SUM(L318)</f>
        <v>83418.880000000005</v>
      </c>
      <c r="M317" s="21">
        <f t="shared" si="66"/>
        <v>100</v>
      </c>
    </row>
    <row r="318" spans="1:13">
      <c r="A318" s="27" t="s">
        <v>141</v>
      </c>
      <c r="B318" s="31">
        <v>609</v>
      </c>
      <c r="C318" s="31">
        <v>10</v>
      </c>
      <c r="D318" s="32" t="s">
        <v>22</v>
      </c>
      <c r="E318" s="31" t="s">
        <v>288</v>
      </c>
      <c r="F318" s="32" t="s">
        <v>142</v>
      </c>
      <c r="G318" s="20"/>
      <c r="H318" s="20"/>
      <c r="I318" s="20"/>
      <c r="J318" s="20"/>
      <c r="K318" s="20">
        <v>83418.880000000005</v>
      </c>
      <c r="L318" s="69">
        <v>83418.880000000005</v>
      </c>
      <c r="M318" s="21">
        <f t="shared" si="66"/>
        <v>100</v>
      </c>
    </row>
    <row r="319" spans="1:13" ht="38.25" customHeight="1">
      <c r="A319" s="48" t="s">
        <v>289</v>
      </c>
      <c r="B319" s="31">
        <v>609</v>
      </c>
      <c r="C319" s="31">
        <v>10</v>
      </c>
      <c r="D319" s="32" t="s">
        <v>22</v>
      </c>
      <c r="E319" s="31" t="s">
        <v>290</v>
      </c>
      <c r="F319" s="31" t="s">
        <v>18</v>
      </c>
      <c r="G319" s="20"/>
      <c r="H319" s="20"/>
      <c r="I319" s="20"/>
      <c r="J319" s="20"/>
      <c r="K319" s="20">
        <f>K320</f>
        <v>9.0299999999999994</v>
      </c>
      <c r="L319" s="69">
        <f>SUM(L320)</f>
        <v>9.0299999999999994</v>
      </c>
      <c r="M319" s="21">
        <f t="shared" si="66"/>
        <v>100</v>
      </c>
    </row>
    <row r="320" spans="1:13" ht="18" customHeight="1">
      <c r="A320" s="27" t="s">
        <v>141</v>
      </c>
      <c r="B320" s="31">
        <v>609</v>
      </c>
      <c r="C320" s="31">
        <v>10</v>
      </c>
      <c r="D320" s="32" t="s">
        <v>22</v>
      </c>
      <c r="E320" s="31" t="s">
        <v>290</v>
      </c>
      <c r="F320" s="32" t="s">
        <v>142</v>
      </c>
      <c r="G320" s="20"/>
      <c r="H320" s="20"/>
      <c r="I320" s="20"/>
      <c r="J320" s="20"/>
      <c r="K320" s="20">
        <v>9.0299999999999994</v>
      </c>
      <c r="L320" s="69">
        <v>9.0299999999999994</v>
      </c>
      <c r="M320" s="21">
        <f t="shared" si="66"/>
        <v>100</v>
      </c>
    </row>
    <row r="321" spans="1:13" ht="37.5">
      <c r="A321" s="48" t="s">
        <v>291</v>
      </c>
      <c r="B321" s="31">
        <v>609</v>
      </c>
      <c r="C321" s="31">
        <v>10</v>
      </c>
      <c r="D321" s="32" t="s">
        <v>22</v>
      </c>
      <c r="E321" s="31" t="s">
        <v>292</v>
      </c>
      <c r="F321" s="31" t="s">
        <v>18</v>
      </c>
      <c r="G321" s="20"/>
      <c r="H321" s="20"/>
      <c r="I321" s="20"/>
      <c r="J321" s="20"/>
      <c r="K321" s="20">
        <f>K322</f>
        <v>58.6</v>
      </c>
      <c r="L321" s="69">
        <f>SUM(L322)</f>
        <v>58.5</v>
      </c>
      <c r="M321" s="21">
        <f t="shared" si="66"/>
        <v>99.829351535836182</v>
      </c>
    </row>
    <row r="322" spans="1:13">
      <c r="A322" s="27" t="s">
        <v>141</v>
      </c>
      <c r="B322" s="31">
        <v>609</v>
      </c>
      <c r="C322" s="31">
        <v>10</v>
      </c>
      <c r="D322" s="32" t="s">
        <v>22</v>
      </c>
      <c r="E322" s="31" t="s">
        <v>292</v>
      </c>
      <c r="F322" s="32" t="s">
        <v>142</v>
      </c>
      <c r="G322" s="20"/>
      <c r="H322" s="20"/>
      <c r="I322" s="20"/>
      <c r="J322" s="20"/>
      <c r="K322" s="20">
        <v>58.6</v>
      </c>
      <c r="L322" s="70">
        <v>58.5</v>
      </c>
      <c r="M322" s="21">
        <f t="shared" si="66"/>
        <v>99.829351535836182</v>
      </c>
    </row>
    <row r="323" spans="1:13" ht="38.25" customHeight="1">
      <c r="A323" s="48" t="s">
        <v>293</v>
      </c>
      <c r="B323" s="31">
        <v>609</v>
      </c>
      <c r="C323" s="31">
        <v>10</v>
      </c>
      <c r="D323" s="32" t="s">
        <v>22</v>
      </c>
      <c r="E323" s="31" t="s">
        <v>294</v>
      </c>
      <c r="F323" s="32" t="s">
        <v>18</v>
      </c>
      <c r="G323" s="20"/>
      <c r="H323" s="20"/>
      <c r="I323" s="20"/>
      <c r="J323" s="20"/>
      <c r="K323" s="20">
        <f>K324+K327</f>
        <v>430</v>
      </c>
      <c r="L323" s="69">
        <f>SUM(L324+L327)</f>
        <v>427.75</v>
      </c>
      <c r="M323" s="21">
        <f t="shared" si="66"/>
        <v>99.476744186046503</v>
      </c>
    </row>
    <row r="324" spans="1:13" ht="39.75" customHeight="1">
      <c r="A324" s="48" t="s">
        <v>295</v>
      </c>
      <c r="B324" s="31">
        <v>609</v>
      </c>
      <c r="C324" s="32" t="s">
        <v>263</v>
      </c>
      <c r="D324" s="32" t="s">
        <v>22</v>
      </c>
      <c r="E324" s="32" t="s">
        <v>296</v>
      </c>
      <c r="F324" s="32" t="s">
        <v>18</v>
      </c>
      <c r="G324" s="20"/>
      <c r="H324" s="20"/>
      <c r="I324" s="20"/>
      <c r="J324" s="20"/>
      <c r="K324" s="20">
        <f>K326</f>
        <v>30</v>
      </c>
      <c r="L324" s="69">
        <f>SUM(L326)</f>
        <v>27.75</v>
      </c>
      <c r="M324" s="21">
        <f t="shared" si="66"/>
        <v>92.5</v>
      </c>
    </row>
    <row r="325" spans="1:13" ht="42" hidden="1" customHeight="1">
      <c r="A325" s="27" t="s">
        <v>102</v>
      </c>
      <c r="B325" s="31">
        <v>609</v>
      </c>
      <c r="C325" s="32" t="s">
        <v>263</v>
      </c>
      <c r="D325" s="32" t="s">
        <v>22</v>
      </c>
      <c r="E325" s="32" t="s">
        <v>296</v>
      </c>
      <c r="F325" s="32" t="s">
        <v>32</v>
      </c>
      <c r="G325" s="20"/>
      <c r="H325" s="20"/>
      <c r="I325" s="20"/>
      <c r="J325" s="20"/>
      <c r="K325" s="20">
        <f>G325+J325</f>
        <v>0</v>
      </c>
      <c r="L325" s="69">
        <v>0</v>
      </c>
      <c r="M325" s="21">
        <v>0</v>
      </c>
    </row>
    <row r="326" spans="1:13" ht="18.75" customHeight="1">
      <c r="A326" s="27" t="s">
        <v>33</v>
      </c>
      <c r="B326" s="31">
        <v>609</v>
      </c>
      <c r="C326" s="32" t="s">
        <v>263</v>
      </c>
      <c r="D326" s="32" t="s">
        <v>22</v>
      </c>
      <c r="E326" s="32" t="s">
        <v>296</v>
      </c>
      <c r="F326" s="32" t="s">
        <v>34</v>
      </c>
      <c r="G326" s="20"/>
      <c r="H326" s="20"/>
      <c r="I326" s="20"/>
      <c r="J326" s="20"/>
      <c r="K326" s="20">
        <v>30</v>
      </c>
      <c r="L326" s="69">
        <v>27.75</v>
      </c>
      <c r="M326" s="21">
        <f t="shared" si="66"/>
        <v>92.5</v>
      </c>
    </row>
    <row r="327" spans="1:13" ht="39" customHeight="1">
      <c r="A327" s="27" t="s">
        <v>297</v>
      </c>
      <c r="B327" s="31">
        <v>609</v>
      </c>
      <c r="C327" s="31">
        <v>10</v>
      </c>
      <c r="D327" s="32" t="s">
        <v>22</v>
      </c>
      <c r="E327" s="31" t="s">
        <v>298</v>
      </c>
      <c r="F327" s="32"/>
      <c r="G327" s="20"/>
      <c r="H327" s="20"/>
      <c r="I327" s="20"/>
      <c r="J327" s="20"/>
      <c r="K327" s="20">
        <f>K328</f>
        <v>400</v>
      </c>
      <c r="L327" s="69">
        <f>SUM(L328)</f>
        <v>400</v>
      </c>
      <c r="M327" s="21">
        <f t="shared" si="66"/>
        <v>100</v>
      </c>
    </row>
    <row r="328" spans="1:13" ht="37.5">
      <c r="A328" s="27" t="s">
        <v>105</v>
      </c>
      <c r="B328" s="31">
        <v>609</v>
      </c>
      <c r="C328" s="31">
        <v>10</v>
      </c>
      <c r="D328" s="32" t="s">
        <v>22</v>
      </c>
      <c r="E328" s="31" t="s">
        <v>298</v>
      </c>
      <c r="F328" s="32" t="s">
        <v>106</v>
      </c>
      <c r="G328" s="20"/>
      <c r="H328" s="20"/>
      <c r="I328" s="20"/>
      <c r="J328" s="20"/>
      <c r="K328" s="20">
        <v>400</v>
      </c>
      <c r="L328" s="69">
        <v>400</v>
      </c>
      <c r="M328" s="21">
        <f t="shared" si="66"/>
        <v>100</v>
      </c>
    </row>
    <row r="329" spans="1:13" ht="18" customHeight="1">
      <c r="A329" s="27" t="s">
        <v>248</v>
      </c>
      <c r="B329" s="23">
        <v>609</v>
      </c>
      <c r="C329" s="24" t="s">
        <v>263</v>
      </c>
      <c r="D329" s="24" t="s">
        <v>52</v>
      </c>
      <c r="E329" s="32" t="s">
        <v>18</v>
      </c>
      <c r="F329" s="32" t="s">
        <v>18</v>
      </c>
      <c r="G329" s="20"/>
      <c r="H329" s="20"/>
      <c r="I329" s="20"/>
      <c r="J329" s="20"/>
      <c r="K329" s="20">
        <f>K330</f>
        <v>39770.11</v>
      </c>
      <c r="L329" s="69">
        <f>SUM(L330)</f>
        <v>39678.46</v>
      </c>
      <c r="M329" s="21">
        <f t="shared" si="66"/>
        <v>99.769550549395007</v>
      </c>
    </row>
    <row r="330" spans="1:13" ht="56.25" customHeight="1">
      <c r="A330" s="27" t="s">
        <v>257</v>
      </c>
      <c r="B330" s="31">
        <v>609</v>
      </c>
      <c r="C330" s="32" t="s">
        <v>263</v>
      </c>
      <c r="D330" s="24" t="s">
        <v>52</v>
      </c>
      <c r="E330" s="32" t="s">
        <v>258</v>
      </c>
      <c r="F330" s="32" t="s">
        <v>18</v>
      </c>
      <c r="G330" s="20"/>
      <c r="H330" s="20"/>
      <c r="I330" s="20"/>
      <c r="J330" s="20"/>
      <c r="K330" s="20">
        <f>K331</f>
        <v>39770.11</v>
      </c>
      <c r="L330" s="69">
        <f>SUM(L331)</f>
        <v>39678.46</v>
      </c>
      <c r="M330" s="21">
        <f t="shared" si="66"/>
        <v>99.769550549395007</v>
      </c>
    </row>
    <row r="331" spans="1:13" ht="38.25" customHeight="1">
      <c r="A331" s="48" t="s">
        <v>265</v>
      </c>
      <c r="B331" s="31">
        <v>609</v>
      </c>
      <c r="C331" s="32" t="s">
        <v>263</v>
      </c>
      <c r="D331" s="24" t="s">
        <v>52</v>
      </c>
      <c r="E331" s="32" t="s">
        <v>266</v>
      </c>
      <c r="F331" s="32" t="s">
        <v>18</v>
      </c>
      <c r="G331" s="20"/>
      <c r="H331" s="20"/>
      <c r="I331" s="20"/>
      <c r="J331" s="20"/>
      <c r="K331" s="20">
        <f>K332+K334+K336</f>
        <v>39770.11</v>
      </c>
      <c r="L331" s="69">
        <f>SUM(L332+L334+L336)</f>
        <v>39678.46</v>
      </c>
      <c r="M331" s="21">
        <f t="shared" si="66"/>
        <v>99.769550549395007</v>
      </c>
    </row>
    <row r="332" spans="1:13" ht="57" customHeight="1">
      <c r="A332" s="48" t="s">
        <v>299</v>
      </c>
      <c r="B332" s="23">
        <v>609</v>
      </c>
      <c r="C332" s="24" t="s">
        <v>263</v>
      </c>
      <c r="D332" s="24" t="s">
        <v>52</v>
      </c>
      <c r="E332" s="32" t="s">
        <v>300</v>
      </c>
      <c r="F332" s="32" t="s">
        <v>18</v>
      </c>
      <c r="G332" s="20"/>
      <c r="H332" s="20"/>
      <c r="I332" s="20"/>
      <c r="J332" s="20"/>
      <c r="K332" s="20">
        <f>K333</f>
        <v>11845.46</v>
      </c>
      <c r="L332" s="69">
        <f>SUM(L333)</f>
        <v>11845.17</v>
      </c>
      <c r="M332" s="21">
        <f t="shared" si="66"/>
        <v>99.997551804657661</v>
      </c>
    </row>
    <row r="333" spans="1:13" ht="19.5" customHeight="1">
      <c r="A333" s="27" t="s">
        <v>141</v>
      </c>
      <c r="B333" s="23">
        <v>609</v>
      </c>
      <c r="C333" s="24" t="s">
        <v>263</v>
      </c>
      <c r="D333" s="24" t="s">
        <v>52</v>
      </c>
      <c r="E333" s="32" t="s">
        <v>300</v>
      </c>
      <c r="F333" s="32" t="s">
        <v>142</v>
      </c>
      <c r="G333" s="20"/>
      <c r="H333" s="20"/>
      <c r="I333" s="20"/>
      <c r="J333" s="20"/>
      <c r="K333" s="20">
        <v>11845.46</v>
      </c>
      <c r="L333" s="69">
        <v>11845.17</v>
      </c>
      <c r="M333" s="21">
        <f t="shared" si="66"/>
        <v>99.997551804657661</v>
      </c>
    </row>
    <row r="334" spans="1:13" ht="74.25" customHeight="1">
      <c r="A334" s="48" t="s">
        <v>301</v>
      </c>
      <c r="B334" s="31">
        <v>609</v>
      </c>
      <c r="C334" s="32" t="s">
        <v>263</v>
      </c>
      <c r="D334" s="24" t="s">
        <v>52</v>
      </c>
      <c r="E334" s="32" t="s">
        <v>302</v>
      </c>
      <c r="F334" s="32" t="s">
        <v>18</v>
      </c>
      <c r="G334" s="20"/>
      <c r="H334" s="20"/>
      <c r="I334" s="20"/>
      <c r="J334" s="20"/>
      <c r="K334" s="20">
        <f>K335</f>
        <v>311.89999999999998</v>
      </c>
      <c r="L334" s="69">
        <f>SUM(L335)</f>
        <v>220.54</v>
      </c>
      <c r="M334" s="21">
        <f t="shared" si="66"/>
        <v>70.708560436037189</v>
      </c>
    </row>
    <row r="335" spans="1:13" ht="19.5" customHeight="1">
      <c r="A335" s="27" t="s">
        <v>141</v>
      </c>
      <c r="B335" s="31">
        <v>609</v>
      </c>
      <c r="C335" s="32" t="s">
        <v>263</v>
      </c>
      <c r="D335" s="24" t="s">
        <v>52</v>
      </c>
      <c r="E335" s="32" t="s">
        <v>302</v>
      </c>
      <c r="F335" s="32" t="s">
        <v>142</v>
      </c>
      <c r="G335" s="20"/>
      <c r="H335" s="20"/>
      <c r="I335" s="20"/>
      <c r="J335" s="20"/>
      <c r="K335" s="20">
        <v>311.89999999999998</v>
      </c>
      <c r="L335" s="69">
        <v>220.54</v>
      </c>
      <c r="M335" s="21">
        <f t="shared" si="66"/>
        <v>70.708560436037189</v>
      </c>
    </row>
    <row r="336" spans="1:13" ht="19.5" customHeight="1">
      <c r="A336" s="48" t="s">
        <v>303</v>
      </c>
      <c r="B336" s="31">
        <v>609</v>
      </c>
      <c r="C336" s="31">
        <v>10</v>
      </c>
      <c r="D336" s="24" t="s">
        <v>52</v>
      </c>
      <c r="E336" s="31" t="s">
        <v>304</v>
      </c>
      <c r="F336" s="31" t="s">
        <v>18</v>
      </c>
      <c r="G336" s="20"/>
      <c r="H336" s="20"/>
      <c r="I336" s="20"/>
      <c r="J336" s="20"/>
      <c r="K336" s="20">
        <f>K337</f>
        <v>27612.75</v>
      </c>
      <c r="L336" s="69">
        <f>SUM(L337)</f>
        <v>27612.75</v>
      </c>
      <c r="M336" s="21">
        <f t="shared" si="66"/>
        <v>100</v>
      </c>
    </row>
    <row r="337" spans="1:13" ht="19.5" customHeight="1">
      <c r="A337" s="27" t="s">
        <v>141</v>
      </c>
      <c r="B337" s="31">
        <v>609</v>
      </c>
      <c r="C337" s="31">
        <v>10</v>
      </c>
      <c r="D337" s="24" t="s">
        <v>52</v>
      </c>
      <c r="E337" s="31" t="s">
        <v>304</v>
      </c>
      <c r="F337" s="32" t="s">
        <v>142</v>
      </c>
      <c r="G337" s="20"/>
      <c r="H337" s="20"/>
      <c r="I337" s="20"/>
      <c r="J337" s="20"/>
      <c r="K337" s="20">
        <v>27612.75</v>
      </c>
      <c r="L337" s="70">
        <v>27612.75</v>
      </c>
      <c r="M337" s="21">
        <f t="shared" si="66"/>
        <v>100</v>
      </c>
    </row>
    <row r="338" spans="1:13" ht="18.75" customHeight="1">
      <c r="A338" s="48" t="s">
        <v>305</v>
      </c>
      <c r="B338" s="31">
        <v>609</v>
      </c>
      <c r="C338" s="32" t="s">
        <v>263</v>
      </c>
      <c r="D338" s="32" t="s">
        <v>176</v>
      </c>
      <c r="E338" s="32" t="s">
        <v>18</v>
      </c>
      <c r="F338" s="24" t="s">
        <v>18</v>
      </c>
      <c r="G338" s="20"/>
      <c r="H338" s="20"/>
      <c r="I338" s="20"/>
      <c r="J338" s="20"/>
      <c r="K338" s="20">
        <f>K339</f>
        <v>11365.3</v>
      </c>
      <c r="L338" s="69">
        <f>SUM(L339)</f>
        <v>11365.3</v>
      </c>
      <c r="M338" s="21">
        <f t="shared" si="66"/>
        <v>100</v>
      </c>
    </row>
    <row r="339" spans="1:13" ht="54.75" customHeight="1">
      <c r="A339" s="27" t="s">
        <v>257</v>
      </c>
      <c r="B339" s="31">
        <v>609</v>
      </c>
      <c r="C339" s="32" t="s">
        <v>263</v>
      </c>
      <c r="D339" s="32" t="s">
        <v>176</v>
      </c>
      <c r="E339" s="32" t="s">
        <v>258</v>
      </c>
      <c r="F339" s="24"/>
      <c r="G339" s="20"/>
      <c r="H339" s="20"/>
      <c r="I339" s="20"/>
      <c r="J339" s="20"/>
      <c r="K339" s="20">
        <f>K340</f>
        <v>11365.3</v>
      </c>
      <c r="L339" s="69">
        <f>SUM(L340)</f>
        <v>11365.3</v>
      </c>
      <c r="M339" s="21">
        <f t="shared" si="66"/>
        <v>100</v>
      </c>
    </row>
    <row r="340" spans="1:13" ht="40.5" customHeight="1">
      <c r="A340" s="27" t="s">
        <v>259</v>
      </c>
      <c r="B340" s="31">
        <v>609</v>
      </c>
      <c r="C340" s="32" t="s">
        <v>263</v>
      </c>
      <c r="D340" s="32" t="s">
        <v>176</v>
      </c>
      <c r="E340" s="32" t="s">
        <v>260</v>
      </c>
      <c r="F340" s="24"/>
      <c r="G340" s="20"/>
      <c r="H340" s="20"/>
      <c r="I340" s="20"/>
      <c r="J340" s="20"/>
      <c r="K340" s="20">
        <f>K341</f>
        <v>11365.3</v>
      </c>
      <c r="L340" s="69">
        <f>SUM(L341)</f>
        <v>11365.3</v>
      </c>
      <c r="M340" s="21">
        <f t="shared" si="66"/>
        <v>100</v>
      </c>
    </row>
    <row r="341" spans="1:13" ht="43.5" customHeight="1">
      <c r="A341" s="27" t="s">
        <v>261</v>
      </c>
      <c r="B341" s="23">
        <v>609</v>
      </c>
      <c r="C341" s="24" t="s">
        <v>263</v>
      </c>
      <c r="D341" s="24" t="s">
        <v>176</v>
      </c>
      <c r="E341" s="24" t="s">
        <v>262</v>
      </c>
      <c r="F341" s="24" t="s">
        <v>18</v>
      </c>
      <c r="G341" s="20"/>
      <c r="H341" s="20"/>
      <c r="I341" s="20"/>
      <c r="J341" s="20"/>
      <c r="K341" s="20">
        <f>K342+K343+K344+K345</f>
        <v>11365.3</v>
      </c>
      <c r="L341" s="69">
        <f>L342+L343+L344+L345</f>
        <v>11365.3</v>
      </c>
      <c r="M341" s="21">
        <f t="shared" si="66"/>
        <v>100</v>
      </c>
    </row>
    <row r="342" spans="1:13" ht="75" customHeight="1">
      <c r="A342" s="27" t="s">
        <v>29</v>
      </c>
      <c r="B342" s="23">
        <v>609</v>
      </c>
      <c r="C342" s="24" t="s">
        <v>263</v>
      </c>
      <c r="D342" s="24" t="s">
        <v>176</v>
      </c>
      <c r="E342" s="24" t="s">
        <v>262</v>
      </c>
      <c r="F342" s="24" t="s">
        <v>30</v>
      </c>
      <c r="G342" s="20"/>
      <c r="H342" s="20"/>
      <c r="I342" s="20"/>
      <c r="J342" s="20"/>
      <c r="K342" s="20">
        <v>10307.75</v>
      </c>
      <c r="L342" s="69">
        <v>10307.75</v>
      </c>
      <c r="M342" s="21">
        <f t="shared" si="66"/>
        <v>100</v>
      </c>
    </row>
    <row r="343" spans="1:13" ht="37.5" customHeight="1">
      <c r="A343" s="27" t="s">
        <v>31</v>
      </c>
      <c r="B343" s="23">
        <v>609</v>
      </c>
      <c r="C343" s="24" t="s">
        <v>263</v>
      </c>
      <c r="D343" s="24" t="s">
        <v>176</v>
      </c>
      <c r="E343" s="24" t="s">
        <v>262</v>
      </c>
      <c r="F343" s="24" t="s">
        <v>32</v>
      </c>
      <c r="G343" s="20"/>
      <c r="H343" s="20"/>
      <c r="I343" s="20"/>
      <c r="J343" s="20"/>
      <c r="K343" s="20">
        <v>1044.82</v>
      </c>
      <c r="L343" s="69">
        <v>1044.82</v>
      </c>
      <c r="M343" s="21">
        <f t="shared" si="66"/>
        <v>100</v>
      </c>
    </row>
    <row r="344" spans="1:13" ht="22.5" customHeight="1">
      <c r="A344" s="27" t="s">
        <v>141</v>
      </c>
      <c r="B344" s="23">
        <v>609</v>
      </c>
      <c r="C344" s="24" t="s">
        <v>263</v>
      </c>
      <c r="D344" s="24" t="s">
        <v>176</v>
      </c>
      <c r="E344" s="24" t="s">
        <v>262</v>
      </c>
      <c r="F344" s="24" t="s">
        <v>142</v>
      </c>
      <c r="G344" s="20"/>
      <c r="H344" s="20"/>
      <c r="I344" s="20"/>
      <c r="J344" s="20"/>
      <c r="K344" s="20">
        <v>6.73</v>
      </c>
      <c r="L344" s="69">
        <v>6.73</v>
      </c>
      <c r="M344" s="21">
        <f t="shared" si="66"/>
        <v>100</v>
      </c>
    </row>
    <row r="345" spans="1:13" ht="21" customHeight="1">
      <c r="A345" s="27" t="s">
        <v>33</v>
      </c>
      <c r="B345" s="23">
        <v>609</v>
      </c>
      <c r="C345" s="24" t="s">
        <v>263</v>
      </c>
      <c r="D345" s="24" t="s">
        <v>176</v>
      </c>
      <c r="E345" s="24" t="s">
        <v>262</v>
      </c>
      <c r="F345" s="24" t="s">
        <v>34</v>
      </c>
      <c r="G345" s="20"/>
      <c r="H345" s="20"/>
      <c r="I345" s="20"/>
      <c r="J345" s="20"/>
      <c r="K345" s="20">
        <v>6</v>
      </c>
      <c r="L345" s="69">
        <v>6</v>
      </c>
      <c r="M345" s="21">
        <f t="shared" si="66"/>
        <v>100</v>
      </c>
    </row>
    <row r="346" spans="1:13" ht="17.25" customHeight="1">
      <c r="A346" s="22"/>
      <c r="B346" s="23"/>
      <c r="C346" s="24"/>
      <c r="D346" s="24"/>
      <c r="E346" s="24"/>
      <c r="F346" s="24"/>
      <c r="G346" s="20"/>
      <c r="H346" s="20"/>
      <c r="I346" s="20"/>
      <c r="J346" s="20"/>
      <c r="K346" s="20"/>
      <c r="M346" s="21"/>
    </row>
    <row r="347" spans="1:13" ht="36.6" customHeight="1">
      <c r="A347" s="22" t="s">
        <v>306</v>
      </c>
      <c r="B347" s="23">
        <v>613</v>
      </c>
      <c r="C347" s="24" t="s">
        <v>18</v>
      </c>
      <c r="D347" s="24" t="s">
        <v>18</v>
      </c>
      <c r="E347" s="24" t="s">
        <v>18</v>
      </c>
      <c r="F347" s="24" t="s">
        <v>18</v>
      </c>
      <c r="G347" s="20"/>
      <c r="H347" s="20"/>
      <c r="I347" s="20"/>
      <c r="J347" s="20"/>
      <c r="K347" s="20">
        <f>K348+K363</f>
        <v>11597.2</v>
      </c>
      <c r="L347" s="70">
        <f>SUM(L348+L363)</f>
        <v>11578.690000000002</v>
      </c>
      <c r="M347" s="21">
        <f t="shared" si="66"/>
        <v>99.840392508536553</v>
      </c>
    </row>
    <row r="348" spans="1:13" ht="16.899999999999999" customHeight="1">
      <c r="A348" s="22" t="s">
        <v>186</v>
      </c>
      <c r="B348" s="23">
        <v>613</v>
      </c>
      <c r="C348" s="24" t="s">
        <v>187</v>
      </c>
      <c r="D348" s="24" t="s">
        <v>18</v>
      </c>
      <c r="E348" s="24" t="s">
        <v>18</v>
      </c>
      <c r="F348" s="24" t="s">
        <v>18</v>
      </c>
      <c r="G348" s="20"/>
      <c r="H348" s="20"/>
      <c r="I348" s="20"/>
      <c r="J348" s="20"/>
      <c r="K348" s="20">
        <f>K349</f>
        <v>2072.17</v>
      </c>
      <c r="L348" s="69">
        <f>SUM(L349)</f>
        <v>2062.2200000000003</v>
      </c>
      <c r="M348" s="21">
        <f t="shared" si="66"/>
        <v>99.519827041217667</v>
      </c>
    </row>
    <row r="349" spans="1:13">
      <c r="A349" s="22" t="s">
        <v>239</v>
      </c>
      <c r="B349" s="23">
        <v>613</v>
      </c>
      <c r="C349" s="24" t="s">
        <v>187</v>
      </c>
      <c r="D349" s="24" t="s">
        <v>113</v>
      </c>
      <c r="E349" s="24" t="s">
        <v>18</v>
      </c>
      <c r="F349" s="24" t="s">
        <v>18</v>
      </c>
      <c r="G349" s="20"/>
      <c r="H349" s="20"/>
      <c r="I349" s="20"/>
      <c r="J349" s="20"/>
      <c r="K349" s="20">
        <f>K350</f>
        <v>2072.17</v>
      </c>
      <c r="L349" s="69">
        <f>SUM(L350)</f>
        <v>2062.2200000000003</v>
      </c>
      <c r="M349" s="21">
        <f t="shared" ref="M349:M427" si="67">SUM(L349/K349*100)</f>
        <v>99.519827041217667</v>
      </c>
    </row>
    <row r="350" spans="1:13" ht="37.5">
      <c r="A350" s="22" t="s">
        <v>307</v>
      </c>
      <c r="B350" s="23">
        <v>613</v>
      </c>
      <c r="C350" s="24" t="s">
        <v>187</v>
      </c>
      <c r="D350" s="24" t="s">
        <v>113</v>
      </c>
      <c r="E350" s="24" t="s">
        <v>308</v>
      </c>
      <c r="F350" s="24"/>
      <c r="G350" s="20"/>
      <c r="H350" s="20"/>
      <c r="I350" s="20"/>
      <c r="J350" s="20"/>
      <c r="K350" s="20">
        <f>K351</f>
        <v>2072.17</v>
      </c>
      <c r="L350" s="69">
        <f>SUM(L351)</f>
        <v>2062.2200000000003</v>
      </c>
      <c r="M350" s="21">
        <f t="shared" si="67"/>
        <v>99.519827041217667</v>
      </c>
    </row>
    <row r="351" spans="1:13" ht="37.5">
      <c r="A351" s="22" t="s">
        <v>309</v>
      </c>
      <c r="B351" s="23">
        <v>613</v>
      </c>
      <c r="C351" s="24" t="s">
        <v>187</v>
      </c>
      <c r="D351" s="24" t="s">
        <v>113</v>
      </c>
      <c r="E351" s="24" t="s">
        <v>310</v>
      </c>
      <c r="F351" s="24"/>
      <c r="G351" s="20"/>
      <c r="H351" s="20"/>
      <c r="I351" s="20"/>
      <c r="J351" s="20"/>
      <c r="K351" s="20">
        <f>K352+K356+K360</f>
        <v>2072.17</v>
      </c>
      <c r="L351" s="69">
        <f>SUM(L352+L356+L360)</f>
        <v>2062.2200000000003</v>
      </c>
      <c r="M351" s="21">
        <f t="shared" si="67"/>
        <v>99.519827041217667</v>
      </c>
    </row>
    <row r="352" spans="1:13">
      <c r="A352" s="22" t="s">
        <v>27</v>
      </c>
      <c r="B352" s="23">
        <v>613</v>
      </c>
      <c r="C352" s="24" t="s">
        <v>187</v>
      </c>
      <c r="D352" s="24" t="s">
        <v>113</v>
      </c>
      <c r="E352" s="24" t="s">
        <v>311</v>
      </c>
      <c r="F352" s="24" t="s">
        <v>18</v>
      </c>
      <c r="G352" s="20"/>
      <c r="H352" s="20"/>
      <c r="I352" s="20"/>
      <c r="J352" s="20"/>
      <c r="K352" s="20">
        <f>K353+K354+K355</f>
        <v>916.07</v>
      </c>
      <c r="L352" s="69">
        <f>L353+L354+L355</f>
        <v>915.31000000000006</v>
      </c>
      <c r="M352" s="21">
        <f t="shared" si="67"/>
        <v>99.917036907659892</v>
      </c>
    </row>
    <row r="353" spans="1:13" ht="78.75" customHeight="1">
      <c r="A353" s="22" t="s">
        <v>29</v>
      </c>
      <c r="B353" s="23">
        <v>613</v>
      </c>
      <c r="C353" s="24" t="s">
        <v>187</v>
      </c>
      <c r="D353" s="24" t="s">
        <v>113</v>
      </c>
      <c r="E353" s="24" t="s">
        <v>311</v>
      </c>
      <c r="F353" s="24" t="s">
        <v>30</v>
      </c>
      <c r="G353" s="20"/>
      <c r="H353" s="20"/>
      <c r="I353" s="20"/>
      <c r="J353" s="20"/>
      <c r="K353" s="20">
        <v>844.96</v>
      </c>
      <c r="L353" s="69">
        <v>844.95</v>
      </c>
      <c r="M353" s="21">
        <f t="shared" si="67"/>
        <v>99.998816512024234</v>
      </c>
    </row>
    <row r="354" spans="1:13" ht="37.5">
      <c r="A354" s="22" t="s">
        <v>102</v>
      </c>
      <c r="B354" s="23">
        <v>613</v>
      </c>
      <c r="C354" s="24" t="s">
        <v>187</v>
      </c>
      <c r="D354" s="24" t="s">
        <v>113</v>
      </c>
      <c r="E354" s="24" t="s">
        <v>311</v>
      </c>
      <c r="F354" s="24" t="s">
        <v>32</v>
      </c>
      <c r="G354" s="20"/>
      <c r="H354" s="20"/>
      <c r="I354" s="20"/>
      <c r="J354" s="20"/>
      <c r="K354" s="20">
        <v>71</v>
      </c>
      <c r="L354" s="69">
        <v>70.25</v>
      </c>
      <c r="M354" s="21">
        <f t="shared" si="67"/>
        <v>98.943661971830991</v>
      </c>
    </row>
    <row r="355" spans="1:13">
      <c r="A355" s="27" t="s">
        <v>33</v>
      </c>
      <c r="B355" s="23">
        <v>613</v>
      </c>
      <c r="C355" s="24" t="s">
        <v>187</v>
      </c>
      <c r="D355" s="24" t="s">
        <v>113</v>
      </c>
      <c r="E355" s="24" t="s">
        <v>311</v>
      </c>
      <c r="F355" s="24" t="s">
        <v>34</v>
      </c>
      <c r="G355" s="20"/>
      <c r="H355" s="20"/>
      <c r="I355" s="20"/>
      <c r="J355" s="20"/>
      <c r="K355" s="20">
        <v>0.11</v>
      </c>
      <c r="L355" s="69">
        <v>0.11</v>
      </c>
      <c r="M355" s="21"/>
    </row>
    <row r="356" spans="1:13" ht="37.5">
      <c r="A356" s="27" t="s">
        <v>312</v>
      </c>
      <c r="B356" s="23">
        <v>613</v>
      </c>
      <c r="C356" s="24" t="s">
        <v>187</v>
      </c>
      <c r="D356" s="24" t="s">
        <v>113</v>
      </c>
      <c r="E356" s="24" t="s">
        <v>313</v>
      </c>
      <c r="F356" s="25" t="s">
        <v>18</v>
      </c>
      <c r="G356" s="26"/>
      <c r="H356" s="26"/>
      <c r="I356" s="26"/>
      <c r="J356" s="26"/>
      <c r="K356" s="20">
        <f>K357+K359</f>
        <v>284.85000000000002</v>
      </c>
      <c r="L356" s="69">
        <f>L357+L359</f>
        <v>282.11</v>
      </c>
      <c r="M356" s="21">
        <f t="shared" si="67"/>
        <v>99.038090222924353</v>
      </c>
    </row>
    <row r="357" spans="1:13" ht="75">
      <c r="A357" s="22" t="s">
        <v>29</v>
      </c>
      <c r="B357" s="23">
        <v>613</v>
      </c>
      <c r="C357" s="24" t="s">
        <v>187</v>
      </c>
      <c r="D357" s="24" t="s">
        <v>113</v>
      </c>
      <c r="E357" s="24" t="s">
        <v>313</v>
      </c>
      <c r="F357" s="25" t="s">
        <v>30</v>
      </c>
      <c r="G357" s="26"/>
      <c r="H357" s="26"/>
      <c r="I357" s="26"/>
      <c r="J357" s="26"/>
      <c r="K357" s="20">
        <v>236.35</v>
      </c>
      <c r="L357" s="69">
        <v>233.61</v>
      </c>
      <c r="M357" s="21">
        <f t="shared" si="67"/>
        <v>98.840702348212403</v>
      </c>
    </row>
    <row r="358" spans="1:13" ht="36.75" hidden="1" customHeight="1">
      <c r="A358" s="22" t="s">
        <v>102</v>
      </c>
      <c r="B358" s="23">
        <v>613</v>
      </c>
      <c r="C358" s="24" t="s">
        <v>187</v>
      </c>
      <c r="D358" s="24" t="s">
        <v>113</v>
      </c>
      <c r="E358" s="24" t="s">
        <v>313</v>
      </c>
      <c r="F358" s="24" t="s">
        <v>32</v>
      </c>
      <c r="G358" s="20"/>
      <c r="H358" s="20"/>
      <c r="I358" s="20"/>
      <c r="J358" s="20"/>
      <c r="K358" s="20">
        <f>G358+J358</f>
        <v>0</v>
      </c>
      <c r="L358" s="69">
        <v>0</v>
      </c>
      <c r="M358" s="21" t="e">
        <f t="shared" si="67"/>
        <v>#DIV/0!</v>
      </c>
    </row>
    <row r="359" spans="1:13" ht="36.75" customHeight="1">
      <c r="A359" s="22" t="s">
        <v>102</v>
      </c>
      <c r="B359" s="23">
        <v>613</v>
      </c>
      <c r="C359" s="24" t="s">
        <v>187</v>
      </c>
      <c r="D359" s="24" t="s">
        <v>113</v>
      </c>
      <c r="E359" s="24" t="s">
        <v>313</v>
      </c>
      <c r="F359" s="25" t="s">
        <v>32</v>
      </c>
      <c r="G359" s="20"/>
      <c r="H359" s="20"/>
      <c r="I359" s="20"/>
      <c r="J359" s="20"/>
      <c r="K359" s="20">
        <v>48.5</v>
      </c>
      <c r="L359" s="69">
        <v>48.5</v>
      </c>
      <c r="M359" s="21">
        <f t="shared" si="67"/>
        <v>100</v>
      </c>
    </row>
    <row r="360" spans="1:13" ht="36.75" customHeight="1">
      <c r="A360" s="27" t="s">
        <v>314</v>
      </c>
      <c r="B360" s="23">
        <v>613</v>
      </c>
      <c r="C360" s="24" t="s">
        <v>187</v>
      </c>
      <c r="D360" s="24" t="s">
        <v>113</v>
      </c>
      <c r="E360" s="24" t="s">
        <v>315</v>
      </c>
      <c r="F360" s="24" t="s">
        <v>18</v>
      </c>
      <c r="G360" s="20"/>
      <c r="H360" s="20"/>
      <c r="I360" s="20"/>
      <c r="J360" s="20"/>
      <c r="K360" s="20">
        <f>K361+K362</f>
        <v>871.25</v>
      </c>
      <c r="L360" s="69">
        <f>SUM(L361:L362)</f>
        <v>864.8</v>
      </c>
      <c r="M360" s="21">
        <f t="shared" si="67"/>
        <v>99.259684361549489</v>
      </c>
    </row>
    <row r="361" spans="1:13" ht="77.25" customHeight="1">
      <c r="A361" s="22" t="s">
        <v>29</v>
      </c>
      <c r="B361" s="23">
        <v>613</v>
      </c>
      <c r="C361" s="24" t="s">
        <v>187</v>
      </c>
      <c r="D361" s="24" t="s">
        <v>113</v>
      </c>
      <c r="E361" s="24" t="s">
        <v>315</v>
      </c>
      <c r="F361" s="24" t="s">
        <v>30</v>
      </c>
      <c r="G361" s="20"/>
      <c r="H361" s="20"/>
      <c r="I361" s="20"/>
      <c r="J361" s="20"/>
      <c r="K361" s="20">
        <v>809.26</v>
      </c>
      <c r="L361" s="69">
        <v>809.24</v>
      </c>
      <c r="M361" s="21">
        <f t="shared" si="67"/>
        <v>99.997528606381138</v>
      </c>
    </row>
    <row r="362" spans="1:13" ht="39" customHeight="1">
      <c r="A362" s="22" t="s">
        <v>102</v>
      </c>
      <c r="B362" s="23">
        <v>613</v>
      </c>
      <c r="C362" s="24" t="s">
        <v>187</v>
      </c>
      <c r="D362" s="24" t="s">
        <v>113</v>
      </c>
      <c r="E362" s="24" t="s">
        <v>315</v>
      </c>
      <c r="F362" s="24" t="s">
        <v>32</v>
      </c>
      <c r="G362" s="20"/>
      <c r="H362" s="20"/>
      <c r="I362" s="20"/>
      <c r="J362" s="20"/>
      <c r="K362" s="20">
        <v>61.99</v>
      </c>
      <c r="L362" s="70">
        <v>55.56</v>
      </c>
      <c r="M362" s="21">
        <f t="shared" si="67"/>
        <v>89.62735925149218</v>
      </c>
    </row>
    <row r="363" spans="1:13" ht="17.25" customHeight="1">
      <c r="A363" s="1" t="s">
        <v>247</v>
      </c>
      <c r="B363" s="23">
        <v>613</v>
      </c>
      <c r="C363" s="24">
        <v>10</v>
      </c>
      <c r="D363" s="25" t="s">
        <v>18</v>
      </c>
      <c r="E363" s="24" t="s">
        <v>18</v>
      </c>
      <c r="F363" s="24" t="s">
        <v>18</v>
      </c>
      <c r="G363" s="20"/>
      <c r="H363" s="20"/>
      <c r="I363" s="20"/>
      <c r="J363" s="20"/>
      <c r="K363" s="20">
        <f>K364</f>
        <v>9525.0300000000007</v>
      </c>
      <c r="L363" s="69">
        <f>SUM(L364)</f>
        <v>9516.4700000000012</v>
      </c>
      <c r="M363" s="21">
        <f t="shared" si="67"/>
        <v>99.910131516646146</v>
      </c>
    </row>
    <row r="364" spans="1:13" ht="17.25" customHeight="1">
      <c r="A364" s="22" t="s">
        <v>248</v>
      </c>
      <c r="B364" s="23">
        <v>613</v>
      </c>
      <c r="C364" s="24">
        <v>10</v>
      </c>
      <c r="D364" s="24" t="s">
        <v>52</v>
      </c>
      <c r="E364" s="24" t="s">
        <v>18</v>
      </c>
      <c r="F364" s="24" t="s">
        <v>18</v>
      </c>
      <c r="G364" s="20"/>
      <c r="H364" s="20"/>
      <c r="I364" s="20"/>
      <c r="J364" s="20"/>
      <c r="K364" s="20">
        <f>K365</f>
        <v>9525.0300000000007</v>
      </c>
      <c r="L364" s="69">
        <f>SUM(L365)</f>
        <v>9516.4700000000012</v>
      </c>
      <c r="M364" s="21">
        <f t="shared" si="67"/>
        <v>99.910131516646146</v>
      </c>
    </row>
    <row r="365" spans="1:13" ht="43.5" customHeight="1">
      <c r="A365" s="22" t="s">
        <v>307</v>
      </c>
      <c r="B365" s="23">
        <v>613</v>
      </c>
      <c r="C365" s="32">
        <v>10</v>
      </c>
      <c r="D365" s="24" t="s">
        <v>52</v>
      </c>
      <c r="E365" s="24" t="s">
        <v>308</v>
      </c>
      <c r="F365" s="32" t="s">
        <v>18</v>
      </c>
      <c r="G365" s="20"/>
      <c r="H365" s="20"/>
      <c r="I365" s="20"/>
      <c r="J365" s="20"/>
      <c r="K365" s="20">
        <f>K366</f>
        <v>9525.0300000000007</v>
      </c>
      <c r="L365" s="69">
        <f>SUM(L366)</f>
        <v>9516.4700000000012</v>
      </c>
      <c r="M365" s="21">
        <f t="shared" si="67"/>
        <v>99.910131516646146</v>
      </c>
    </row>
    <row r="366" spans="1:13" ht="18.75" customHeight="1">
      <c r="A366" s="1" t="s">
        <v>316</v>
      </c>
      <c r="B366" s="23">
        <v>613</v>
      </c>
      <c r="C366" s="32">
        <v>10</v>
      </c>
      <c r="D366" s="24" t="s">
        <v>52</v>
      </c>
      <c r="E366" s="24" t="s">
        <v>317</v>
      </c>
      <c r="F366" s="32" t="s">
        <v>18</v>
      </c>
      <c r="G366" s="20"/>
      <c r="H366" s="20"/>
      <c r="I366" s="20"/>
      <c r="J366" s="20"/>
      <c r="K366" s="20">
        <f>K367+K369+K371+K373</f>
        <v>9525.0300000000007</v>
      </c>
      <c r="L366" s="69">
        <f>SUM(L367+L369+L371+L373)</f>
        <v>9516.4700000000012</v>
      </c>
      <c r="M366" s="21">
        <f t="shared" si="67"/>
        <v>99.910131516646146</v>
      </c>
    </row>
    <row r="367" spans="1:13" ht="37.5">
      <c r="A367" s="1" t="s">
        <v>318</v>
      </c>
      <c r="B367" s="23">
        <v>613</v>
      </c>
      <c r="C367" s="32">
        <v>10</v>
      </c>
      <c r="D367" s="32" t="s">
        <v>52</v>
      </c>
      <c r="E367" s="24" t="s">
        <v>319</v>
      </c>
      <c r="F367" s="32" t="s">
        <v>18</v>
      </c>
      <c r="G367" s="20"/>
      <c r="H367" s="20"/>
      <c r="I367" s="20"/>
      <c r="J367" s="20"/>
      <c r="K367" s="20">
        <f>K368</f>
        <v>6529.63</v>
      </c>
      <c r="L367" s="69">
        <f>SUM(L368)</f>
        <v>6529.63</v>
      </c>
      <c r="M367" s="21">
        <f t="shared" si="67"/>
        <v>100</v>
      </c>
    </row>
    <row r="368" spans="1:13" ht="19.5" customHeight="1">
      <c r="A368" s="22" t="s">
        <v>141</v>
      </c>
      <c r="B368" s="23">
        <v>613</v>
      </c>
      <c r="C368" s="32">
        <v>10</v>
      </c>
      <c r="D368" s="32" t="s">
        <v>52</v>
      </c>
      <c r="E368" s="24" t="s">
        <v>319</v>
      </c>
      <c r="F368" s="32" t="s">
        <v>142</v>
      </c>
      <c r="G368" s="26"/>
      <c r="H368" s="26"/>
      <c r="I368" s="26"/>
      <c r="J368" s="26"/>
      <c r="K368" s="20">
        <v>6529.63</v>
      </c>
      <c r="L368" s="69">
        <v>6529.63</v>
      </c>
      <c r="M368" s="21">
        <f t="shared" si="67"/>
        <v>100</v>
      </c>
    </row>
    <row r="369" spans="1:15" ht="75">
      <c r="A369" s="1" t="s">
        <v>320</v>
      </c>
      <c r="B369" s="23">
        <v>613</v>
      </c>
      <c r="C369" s="32">
        <v>10</v>
      </c>
      <c r="D369" s="32" t="s">
        <v>52</v>
      </c>
      <c r="E369" s="24" t="s">
        <v>321</v>
      </c>
      <c r="F369" s="32" t="s">
        <v>18</v>
      </c>
      <c r="G369" s="20"/>
      <c r="H369" s="20"/>
      <c r="I369" s="20"/>
      <c r="J369" s="20"/>
      <c r="K369" s="20">
        <f>K370</f>
        <v>80.27</v>
      </c>
      <c r="L369" s="69">
        <f>SUM(L370)</f>
        <v>80.27</v>
      </c>
      <c r="M369" s="21">
        <f t="shared" si="67"/>
        <v>100</v>
      </c>
    </row>
    <row r="370" spans="1:15" ht="18.75" customHeight="1">
      <c r="A370" s="22" t="s">
        <v>141</v>
      </c>
      <c r="B370" s="23">
        <v>613</v>
      </c>
      <c r="C370" s="32">
        <v>10</v>
      </c>
      <c r="D370" s="32" t="s">
        <v>52</v>
      </c>
      <c r="E370" s="24" t="s">
        <v>321</v>
      </c>
      <c r="F370" s="32" t="s">
        <v>142</v>
      </c>
      <c r="G370" s="26"/>
      <c r="H370" s="26"/>
      <c r="I370" s="26"/>
      <c r="J370" s="26"/>
      <c r="K370" s="20">
        <v>80.27</v>
      </c>
      <c r="L370" s="69">
        <v>80.27</v>
      </c>
      <c r="M370" s="21">
        <f t="shared" si="67"/>
        <v>100</v>
      </c>
    </row>
    <row r="371" spans="1:15" ht="58.5" customHeight="1">
      <c r="A371" s="1" t="s">
        <v>487</v>
      </c>
      <c r="B371" s="23">
        <v>613</v>
      </c>
      <c r="C371" s="32">
        <v>10</v>
      </c>
      <c r="D371" s="32" t="s">
        <v>52</v>
      </c>
      <c r="E371" s="24" t="s">
        <v>322</v>
      </c>
      <c r="F371" s="32" t="s">
        <v>18</v>
      </c>
      <c r="G371" s="20"/>
      <c r="H371" s="20"/>
      <c r="I371" s="20"/>
      <c r="J371" s="20"/>
      <c r="K371" s="20">
        <f>K372</f>
        <v>2465.13</v>
      </c>
      <c r="L371" s="69">
        <f>SUM(L372)</f>
        <v>2456.5700000000002</v>
      </c>
      <c r="M371" s="21">
        <f t="shared" si="67"/>
        <v>99.652756649750728</v>
      </c>
    </row>
    <row r="372" spans="1:15" ht="18" customHeight="1">
      <c r="A372" s="22" t="s">
        <v>141</v>
      </c>
      <c r="B372" s="23">
        <v>613</v>
      </c>
      <c r="C372" s="32">
        <v>10</v>
      </c>
      <c r="D372" s="32" t="s">
        <v>52</v>
      </c>
      <c r="E372" s="24" t="s">
        <v>322</v>
      </c>
      <c r="F372" s="32" t="s">
        <v>142</v>
      </c>
      <c r="G372" s="26"/>
      <c r="H372" s="26"/>
      <c r="I372" s="26"/>
      <c r="J372" s="26"/>
      <c r="K372" s="20">
        <v>2465.13</v>
      </c>
      <c r="L372" s="69">
        <v>2456.5700000000002</v>
      </c>
      <c r="M372" s="21">
        <f t="shared" si="67"/>
        <v>99.652756649750728</v>
      </c>
    </row>
    <row r="373" spans="1:15" ht="18.75" customHeight="1">
      <c r="A373" s="1" t="s">
        <v>323</v>
      </c>
      <c r="B373" s="23">
        <v>613</v>
      </c>
      <c r="C373" s="32">
        <v>10</v>
      </c>
      <c r="D373" s="32" t="s">
        <v>52</v>
      </c>
      <c r="E373" s="24" t="s">
        <v>324</v>
      </c>
      <c r="F373" s="32" t="s">
        <v>18</v>
      </c>
      <c r="G373" s="20"/>
      <c r="H373" s="20"/>
      <c r="I373" s="20"/>
      <c r="J373" s="20"/>
      <c r="K373" s="20">
        <f>K374</f>
        <v>450</v>
      </c>
      <c r="L373" s="69">
        <f>SUM(L374)</f>
        <v>450</v>
      </c>
      <c r="M373" s="21">
        <f t="shared" si="67"/>
        <v>100</v>
      </c>
    </row>
    <row r="374" spans="1:15" ht="18.75" customHeight="1">
      <c r="A374" s="22" t="s">
        <v>141</v>
      </c>
      <c r="B374" s="23">
        <v>613</v>
      </c>
      <c r="C374" s="32">
        <v>10</v>
      </c>
      <c r="D374" s="32" t="s">
        <v>52</v>
      </c>
      <c r="E374" s="24" t="s">
        <v>324</v>
      </c>
      <c r="F374" s="32" t="s">
        <v>142</v>
      </c>
      <c r="G374" s="26"/>
      <c r="H374" s="26"/>
      <c r="I374" s="26"/>
      <c r="J374" s="26"/>
      <c r="K374" s="20">
        <v>450</v>
      </c>
      <c r="L374" s="69">
        <v>450</v>
      </c>
      <c r="M374" s="21">
        <f t="shared" si="67"/>
        <v>100</v>
      </c>
    </row>
    <row r="375" spans="1:15" ht="14.45" customHeight="1">
      <c r="A375" s="22"/>
      <c r="B375" s="23"/>
      <c r="C375" s="24"/>
      <c r="D375" s="24"/>
      <c r="E375" s="24"/>
      <c r="F375" s="24"/>
      <c r="G375" s="20"/>
      <c r="H375" s="20"/>
      <c r="I375" s="20"/>
      <c r="J375" s="20"/>
      <c r="K375" s="20"/>
      <c r="M375" s="21"/>
    </row>
    <row r="376" spans="1:15" ht="39.75" customHeight="1">
      <c r="A376" s="48" t="s">
        <v>325</v>
      </c>
      <c r="B376" s="23">
        <v>614</v>
      </c>
      <c r="C376" s="24" t="s">
        <v>18</v>
      </c>
      <c r="D376" s="24" t="s">
        <v>18</v>
      </c>
      <c r="E376" s="24" t="s">
        <v>18</v>
      </c>
      <c r="F376" s="24" t="s">
        <v>18</v>
      </c>
      <c r="G376" s="19"/>
      <c r="H376" s="19"/>
      <c r="I376" s="19"/>
      <c r="J376" s="19"/>
      <c r="K376" s="26">
        <f>K377+K398+K457</f>
        <v>173608.87999999998</v>
      </c>
      <c r="L376" s="70">
        <f>SUM(L377+L398+L457)</f>
        <v>144379.26</v>
      </c>
      <c r="M376" s="21">
        <f t="shared" si="67"/>
        <v>83.163522511060506</v>
      </c>
      <c r="O376" s="64"/>
    </row>
    <row r="377" spans="1:15">
      <c r="A377" s="27" t="s">
        <v>120</v>
      </c>
      <c r="B377" s="23">
        <v>614</v>
      </c>
      <c r="C377" s="24" t="s">
        <v>52</v>
      </c>
      <c r="D377" s="24" t="s">
        <v>18</v>
      </c>
      <c r="E377" s="24" t="s">
        <v>18</v>
      </c>
      <c r="F377" s="24" t="s">
        <v>18</v>
      </c>
      <c r="G377" s="20"/>
      <c r="H377" s="20"/>
      <c r="I377" s="20"/>
      <c r="J377" s="20"/>
      <c r="K377" s="20">
        <f>K378</f>
        <v>71113.449999999983</v>
      </c>
      <c r="L377" s="20">
        <f>L378</f>
        <v>70985.34</v>
      </c>
      <c r="M377" s="21">
        <f t="shared" si="67"/>
        <v>99.819851237705407</v>
      </c>
    </row>
    <row r="378" spans="1:15" ht="18.75" customHeight="1">
      <c r="A378" s="48" t="s">
        <v>326</v>
      </c>
      <c r="B378" s="23">
        <v>614</v>
      </c>
      <c r="C378" s="24" t="s">
        <v>52</v>
      </c>
      <c r="D378" s="24" t="s">
        <v>113</v>
      </c>
      <c r="E378" s="24" t="s">
        <v>18</v>
      </c>
      <c r="F378" s="24" t="s">
        <v>18</v>
      </c>
      <c r="G378" s="20"/>
      <c r="H378" s="20"/>
      <c r="I378" s="20"/>
      <c r="J378" s="20"/>
      <c r="K378" s="20">
        <f>K379</f>
        <v>71113.449999999983</v>
      </c>
      <c r="L378" s="20">
        <f>L379</f>
        <v>70985.34</v>
      </c>
      <c r="M378" s="21">
        <f t="shared" si="67"/>
        <v>99.819851237705407</v>
      </c>
    </row>
    <row r="379" spans="1:15" ht="40.5" customHeight="1">
      <c r="A379" s="48" t="s">
        <v>327</v>
      </c>
      <c r="B379" s="31">
        <v>614</v>
      </c>
      <c r="C379" s="24" t="s">
        <v>52</v>
      </c>
      <c r="D379" s="24" t="s">
        <v>113</v>
      </c>
      <c r="E379" s="24" t="s">
        <v>328</v>
      </c>
      <c r="F379" s="24" t="s">
        <v>18</v>
      </c>
      <c r="G379" s="20"/>
      <c r="H379" s="20"/>
      <c r="I379" s="20"/>
      <c r="J379" s="20"/>
      <c r="K379" s="20">
        <f>K380+K395</f>
        <v>71113.449999999983</v>
      </c>
      <c r="L379" s="20">
        <f>L380+L395</f>
        <v>70985.34</v>
      </c>
      <c r="M379" s="21">
        <f t="shared" si="67"/>
        <v>99.819851237705407</v>
      </c>
    </row>
    <row r="380" spans="1:15" ht="36.75" customHeight="1">
      <c r="A380" s="48" t="s">
        <v>329</v>
      </c>
      <c r="B380" s="23">
        <v>614</v>
      </c>
      <c r="C380" s="24" t="s">
        <v>52</v>
      </c>
      <c r="D380" s="24" t="s">
        <v>113</v>
      </c>
      <c r="E380" s="24" t="s">
        <v>330</v>
      </c>
      <c r="F380" s="24" t="s">
        <v>18</v>
      </c>
      <c r="G380" s="20"/>
      <c r="H380" s="20"/>
      <c r="I380" s="20"/>
      <c r="J380" s="20"/>
      <c r="K380" s="20">
        <f>K381+K383+K385+K387+K389+K391+K393</f>
        <v>70824.76999999999</v>
      </c>
      <c r="L380" s="20">
        <f>L381+L383+L385+L387+L389+L391+L393</f>
        <v>70696.66</v>
      </c>
      <c r="M380" s="21">
        <f t="shared" si="67"/>
        <v>99.819116955833408</v>
      </c>
    </row>
    <row r="381" spans="1:15" ht="36.75" customHeight="1">
      <c r="A381" s="48" t="s">
        <v>331</v>
      </c>
      <c r="B381" s="31">
        <v>614</v>
      </c>
      <c r="C381" s="24" t="s">
        <v>52</v>
      </c>
      <c r="D381" s="24" t="s">
        <v>113</v>
      </c>
      <c r="E381" s="24" t="s">
        <v>332</v>
      </c>
      <c r="F381" s="24" t="s">
        <v>18</v>
      </c>
      <c r="G381" s="20"/>
      <c r="H381" s="20"/>
      <c r="I381" s="20"/>
      <c r="J381" s="20"/>
      <c r="K381" s="20">
        <f>K382</f>
        <v>15265.08</v>
      </c>
      <c r="L381" s="20">
        <f>SUM(L382)</f>
        <v>15201.94</v>
      </c>
      <c r="M381" s="21">
        <f t="shared" si="67"/>
        <v>99.58637622600078</v>
      </c>
    </row>
    <row r="382" spans="1:15" ht="39" customHeight="1">
      <c r="A382" s="27" t="s">
        <v>102</v>
      </c>
      <c r="B382" s="23">
        <v>614</v>
      </c>
      <c r="C382" s="24" t="s">
        <v>52</v>
      </c>
      <c r="D382" s="24" t="s">
        <v>113</v>
      </c>
      <c r="E382" s="24" t="s">
        <v>332</v>
      </c>
      <c r="F382" s="24" t="s">
        <v>32</v>
      </c>
      <c r="G382" s="20"/>
      <c r="H382" s="20"/>
      <c r="I382" s="20"/>
      <c r="J382" s="20"/>
      <c r="K382" s="20">
        <v>15265.08</v>
      </c>
      <c r="L382" s="20">
        <v>15201.94</v>
      </c>
      <c r="M382" s="21">
        <f t="shared" si="67"/>
        <v>99.58637622600078</v>
      </c>
    </row>
    <row r="383" spans="1:15" ht="58.5" customHeight="1">
      <c r="A383" s="27" t="s">
        <v>333</v>
      </c>
      <c r="B383" s="23">
        <v>614</v>
      </c>
      <c r="C383" s="24" t="s">
        <v>52</v>
      </c>
      <c r="D383" s="24" t="s">
        <v>113</v>
      </c>
      <c r="E383" s="24" t="s">
        <v>334</v>
      </c>
      <c r="F383" s="24" t="s">
        <v>18</v>
      </c>
      <c r="G383" s="20"/>
      <c r="H383" s="20"/>
      <c r="I383" s="20"/>
      <c r="J383" s="20"/>
      <c r="K383" s="20">
        <f>K384</f>
        <v>643.65</v>
      </c>
      <c r="L383" s="20">
        <f>SUM(L384)</f>
        <v>633.46</v>
      </c>
      <c r="M383" s="21">
        <f t="shared" si="67"/>
        <v>98.416841451099216</v>
      </c>
    </row>
    <row r="384" spans="1:15" ht="39" customHeight="1">
      <c r="A384" s="27" t="s">
        <v>102</v>
      </c>
      <c r="B384" s="28">
        <v>614</v>
      </c>
      <c r="C384" s="25" t="s">
        <v>52</v>
      </c>
      <c r="D384" s="25" t="s">
        <v>113</v>
      </c>
      <c r="E384" s="24" t="s">
        <v>334</v>
      </c>
      <c r="F384" s="25" t="s">
        <v>32</v>
      </c>
      <c r="G384" s="26"/>
      <c r="H384" s="26"/>
      <c r="I384" s="26"/>
      <c r="J384" s="26"/>
      <c r="K384" s="20">
        <v>643.65</v>
      </c>
      <c r="L384" s="20">
        <v>633.46</v>
      </c>
      <c r="M384" s="21">
        <f t="shared" si="67"/>
        <v>98.416841451099216</v>
      </c>
    </row>
    <row r="385" spans="1:13" ht="39" customHeight="1">
      <c r="A385" s="27" t="s">
        <v>335</v>
      </c>
      <c r="B385" s="23">
        <v>614</v>
      </c>
      <c r="C385" s="24" t="s">
        <v>52</v>
      </c>
      <c r="D385" s="24" t="s">
        <v>113</v>
      </c>
      <c r="E385" s="24" t="s">
        <v>336</v>
      </c>
      <c r="F385" s="24" t="s">
        <v>18</v>
      </c>
      <c r="G385" s="20"/>
      <c r="H385" s="20"/>
      <c r="I385" s="20"/>
      <c r="J385" s="20"/>
      <c r="K385" s="20">
        <f>K386</f>
        <v>3976.56</v>
      </c>
      <c r="L385" s="20">
        <f>SUM(L386)</f>
        <v>3921.78</v>
      </c>
      <c r="M385" s="21">
        <f t="shared" si="67"/>
        <v>98.622427424708803</v>
      </c>
    </row>
    <row r="386" spans="1:13" ht="39" customHeight="1">
      <c r="A386" s="22" t="s">
        <v>400</v>
      </c>
      <c r="B386" s="28">
        <v>614</v>
      </c>
      <c r="C386" s="25" t="s">
        <v>52</v>
      </c>
      <c r="D386" s="25" t="s">
        <v>113</v>
      </c>
      <c r="E386" s="24" t="s">
        <v>336</v>
      </c>
      <c r="F386" s="25" t="s">
        <v>401</v>
      </c>
      <c r="G386" s="26"/>
      <c r="H386" s="26"/>
      <c r="I386" s="26"/>
      <c r="J386" s="26"/>
      <c r="K386" s="20">
        <v>3976.56</v>
      </c>
      <c r="L386" s="20">
        <v>3921.78</v>
      </c>
      <c r="M386" s="21">
        <f t="shared" si="67"/>
        <v>98.622427424708803</v>
      </c>
    </row>
    <row r="387" spans="1:13" ht="42" hidden="1" customHeight="1">
      <c r="A387" s="27" t="s">
        <v>337</v>
      </c>
      <c r="B387" s="23">
        <v>614</v>
      </c>
      <c r="C387" s="24" t="s">
        <v>52</v>
      </c>
      <c r="D387" s="24" t="s">
        <v>113</v>
      </c>
      <c r="E387" s="24" t="s">
        <v>338</v>
      </c>
      <c r="F387" s="24" t="s">
        <v>18</v>
      </c>
      <c r="G387" s="26"/>
      <c r="H387" s="26"/>
      <c r="I387" s="26"/>
      <c r="J387" s="26"/>
      <c r="K387" s="20">
        <f>K388</f>
        <v>0</v>
      </c>
      <c r="L387" s="20">
        <f>SUM(L388)</f>
        <v>0</v>
      </c>
      <c r="M387" s="21" t="e">
        <f t="shared" si="67"/>
        <v>#DIV/0!</v>
      </c>
    </row>
    <row r="388" spans="1:13" ht="39" hidden="1" customHeight="1">
      <c r="A388" s="27" t="s">
        <v>102</v>
      </c>
      <c r="B388" s="28">
        <v>614</v>
      </c>
      <c r="C388" s="25" t="s">
        <v>52</v>
      </c>
      <c r="D388" s="25" t="s">
        <v>113</v>
      </c>
      <c r="E388" s="24" t="s">
        <v>338</v>
      </c>
      <c r="F388" s="25" t="s">
        <v>32</v>
      </c>
      <c r="G388" s="26"/>
      <c r="H388" s="26"/>
      <c r="I388" s="26"/>
      <c r="J388" s="26"/>
      <c r="K388" s="20">
        <v>0</v>
      </c>
      <c r="L388" s="20">
        <v>0</v>
      </c>
      <c r="M388" s="21" t="e">
        <f t="shared" si="67"/>
        <v>#DIV/0!</v>
      </c>
    </row>
    <row r="389" spans="1:13" ht="19.5" customHeight="1">
      <c r="A389" s="27" t="s">
        <v>339</v>
      </c>
      <c r="B389" s="23">
        <v>614</v>
      </c>
      <c r="C389" s="24" t="s">
        <v>52</v>
      </c>
      <c r="D389" s="24" t="s">
        <v>113</v>
      </c>
      <c r="E389" s="24" t="s">
        <v>340</v>
      </c>
      <c r="F389" s="24" t="s">
        <v>18</v>
      </c>
      <c r="G389" s="26"/>
      <c r="H389" s="26"/>
      <c r="I389" s="26"/>
      <c r="J389" s="26"/>
      <c r="K389" s="20">
        <f>K390</f>
        <v>976.18</v>
      </c>
      <c r="L389" s="20">
        <f>SUM(L390)</f>
        <v>976.18</v>
      </c>
      <c r="M389" s="21">
        <f t="shared" si="67"/>
        <v>100</v>
      </c>
    </row>
    <row r="390" spans="1:13" ht="39" customHeight="1">
      <c r="A390" s="27" t="s">
        <v>102</v>
      </c>
      <c r="B390" s="28">
        <v>614</v>
      </c>
      <c r="C390" s="25" t="s">
        <v>52</v>
      </c>
      <c r="D390" s="25" t="s">
        <v>113</v>
      </c>
      <c r="E390" s="24" t="s">
        <v>340</v>
      </c>
      <c r="F390" s="25" t="s">
        <v>32</v>
      </c>
      <c r="G390" s="26"/>
      <c r="H390" s="26"/>
      <c r="I390" s="26"/>
      <c r="J390" s="26"/>
      <c r="K390" s="20">
        <v>976.18</v>
      </c>
      <c r="L390" s="20">
        <v>976.18</v>
      </c>
      <c r="M390" s="21">
        <f t="shared" si="67"/>
        <v>100</v>
      </c>
    </row>
    <row r="391" spans="1:13" ht="73.5" customHeight="1">
      <c r="A391" s="55" t="s">
        <v>447</v>
      </c>
      <c r="B391" s="52">
        <v>614</v>
      </c>
      <c r="C391" s="53" t="s">
        <v>52</v>
      </c>
      <c r="D391" s="53" t="s">
        <v>113</v>
      </c>
      <c r="E391" s="53" t="s">
        <v>448</v>
      </c>
      <c r="F391" s="53" t="s">
        <v>18</v>
      </c>
      <c r="G391" s="26"/>
      <c r="H391" s="26"/>
      <c r="I391" s="26"/>
      <c r="J391" s="26"/>
      <c r="K391" s="20">
        <f>K392</f>
        <v>5904.96</v>
      </c>
      <c r="L391" s="20">
        <f>L392</f>
        <v>5904.96</v>
      </c>
      <c r="M391" s="21">
        <f t="shared" si="67"/>
        <v>100</v>
      </c>
    </row>
    <row r="392" spans="1:13" ht="39" customHeight="1">
      <c r="A392" s="55" t="s">
        <v>102</v>
      </c>
      <c r="B392" s="59">
        <v>614</v>
      </c>
      <c r="C392" s="54" t="s">
        <v>52</v>
      </c>
      <c r="D392" s="54" t="s">
        <v>113</v>
      </c>
      <c r="E392" s="53" t="s">
        <v>448</v>
      </c>
      <c r="F392" s="54" t="s">
        <v>32</v>
      </c>
      <c r="G392" s="26"/>
      <c r="H392" s="26"/>
      <c r="I392" s="26"/>
      <c r="J392" s="26"/>
      <c r="K392" s="20">
        <v>5904.96</v>
      </c>
      <c r="L392" s="20">
        <v>5904.96</v>
      </c>
      <c r="M392" s="21">
        <f t="shared" si="67"/>
        <v>100</v>
      </c>
    </row>
    <row r="393" spans="1:13" ht="39" customHeight="1">
      <c r="A393" s="27" t="s">
        <v>341</v>
      </c>
      <c r="B393" s="23">
        <v>614</v>
      </c>
      <c r="C393" s="24" t="s">
        <v>52</v>
      </c>
      <c r="D393" s="24" t="s">
        <v>113</v>
      </c>
      <c r="E393" s="24" t="s">
        <v>342</v>
      </c>
      <c r="F393" s="24" t="s">
        <v>18</v>
      </c>
      <c r="G393" s="26"/>
      <c r="H393" s="26"/>
      <c r="I393" s="26"/>
      <c r="J393" s="26"/>
      <c r="K393" s="20">
        <f>K394</f>
        <v>44058.34</v>
      </c>
      <c r="L393" s="20">
        <f>SUM(L394)</f>
        <v>44058.34</v>
      </c>
      <c r="M393" s="21">
        <f t="shared" si="67"/>
        <v>100</v>
      </c>
    </row>
    <row r="394" spans="1:13" ht="39" customHeight="1">
      <c r="A394" s="22" t="s">
        <v>400</v>
      </c>
      <c r="B394" s="28">
        <v>614</v>
      </c>
      <c r="C394" s="25" t="s">
        <v>52</v>
      </c>
      <c r="D394" s="25" t="s">
        <v>113</v>
      </c>
      <c r="E394" s="24" t="s">
        <v>342</v>
      </c>
      <c r="F394" s="25" t="s">
        <v>401</v>
      </c>
      <c r="G394" s="26"/>
      <c r="H394" s="26"/>
      <c r="I394" s="26"/>
      <c r="J394" s="26"/>
      <c r="K394" s="20">
        <v>44058.34</v>
      </c>
      <c r="L394" s="20">
        <v>44058.34</v>
      </c>
      <c r="M394" s="21">
        <f t="shared" si="67"/>
        <v>100</v>
      </c>
    </row>
    <row r="395" spans="1:13" ht="19.5" customHeight="1">
      <c r="A395" s="27" t="s">
        <v>343</v>
      </c>
      <c r="B395" s="28">
        <v>614</v>
      </c>
      <c r="C395" s="25" t="s">
        <v>52</v>
      </c>
      <c r="D395" s="25" t="s">
        <v>113</v>
      </c>
      <c r="E395" s="25" t="s">
        <v>344</v>
      </c>
      <c r="F395" s="25" t="s">
        <v>18</v>
      </c>
      <c r="G395" s="26"/>
      <c r="H395" s="26"/>
      <c r="I395" s="26"/>
      <c r="J395" s="26"/>
      <c r="K395" s="20">
        <f>K396</f>
        <v>288.68</v>
      </c>
      <c r="L395" s="20">
        <f>SUM(L396)</f>
        <v>288.68</v>
      </c>
      <c r="M395" s="21">
        <f t="shared" si="67"/>
        <v>100</v>
      </c>
    </row>
    <row r="396" spans="1:13" ht="40.9" customHeight="1">
      <c r="A396" s="48" t="s">
        <v>345</v>
      </c>
      <c r="B396" s="23">
        <v>614</v>
      </c>
      <c r="C396" s="24" t="s">
        <v>52</v>
      </c>
      <c r="D396" s="24" t="s">
        <v>113</v>
      </c>
      <c r="E396" s="24" t="s">
        <v>346</v>
      </c>
      <c r="F396" s="24" t="s">
        <v>18</v>
      </c>
      <c r="G396" s="20"/>
      <c r="H396" s="20"/>
      <c r="I396" s="20"/>
      <c r="J396" s="20"/>
      <c r="K396" s="20">
        <f>K397</f>
        <v>288.68</v>
      </c>
      <c r="L396" s="20">
        <f>SUM(L397)</f>
        <v>288.68</v>
      </c>
      <c r="M396" s="21">
        <f t="shared" si="67"/>
        <v>100</v>
      </c>
    </row>
    <row r="397" spans="1:13" ht="37.5" customHeight="1">
      <c r="A397" s="27" t="s">
        <v>102</v>
      </c>
      <c r="B397" s="23">
        <v>614</v>
      </c>
      <c r="C397" s="24" t="s">
        <v>52</v>
      </c>
      <c r="D397" s="24" t="s">
        <v>113</v>
      </c>
      <c r="E397" s="24" t="s">
        <v>346</v>
      </c>
      <c r="F397" s="25" t="s">
        <v>32</v>
      </c>
      <c r="G397" s="20"/>
      <c r="H397" s="20"/>
      <c r="I397" s="20"/>
      <c r="J397" s="20"/>
      <c r="K397" s="20">
        <v>288.68</v>
      </c>
      <c r="L397" s="20">
        <v>288.68</v>
      </c>
      <c r="M397" s="21">
        <f t="shared" si="67"/>
        <v>100</v>
      </c>
    </row>
    <row r="398" spans="1:13" ht="18.75" customHeight="1">
      <c r="A398" s="27" t="s">
        <v>168</v>
      </c>
      <c r="B398" s="31">
        <v>614</v>
      </c>
      <c r="C398" s="24" t="s">
        <v>62</v>
      </c>
      <c r="D398" s="24" t="s">
        <v>18</v>
      </c>
      <c r="E398" s="24" t="s">
        <v>18</v>
      </c>
      <c r="F398" s="24" t="s">
        <v>18</v>
      </c>
      <c r="G398" s="20"/>
      <c r="H398" s="20"/>
      <c r="I398" s="20"/>
      <c r="J398" s="20"/>
      <c r="K398" s="26">
        <f>K399+K422+K433+K446</f>
        <v>95003.12</v>
      </c>
      <c r="L398" s="70">
        <f>SUM(L399+L422+L433+L446)</f>
        <v>68388.22</v>
      </c>
      <c r="M398" s="21">
        <f t="shared" si="67"/>
        <v>71.985235853306719</v>
      </c>
    </row>
    <row r="399" spans="1:13" ht="18" customHeight="1">
      <c r="A399" s="27" t="s">
        <v>169</v>
      </c>
      <c r="B399" s="23">
        <v>614</v>
      </c>
      <c r="C399" s="24" t="s">
        <v>62</v>
      </c>
      <c r="D399" s="24" t="s">
        <v>20</v>
      </c>
      <c r="E399" s="24" t="s">
        <v>18</v>
      </c>
      <c r="F399" s="24" t="s">
        <v>18</v>
      </c>
      <c r="G399" s="20"/>
      <c r="H399" s="20"/>
      <c r="I399" s="20"/>
      <c r="J399" s="20"/>
      <c r="K399" s="20">
        <f>K400</f>
        <v>40170.46</v>
      </c>
      <c r="L399" s="69">
        <f>SUM(L400)</f>
        <v>13824.14</v>
      </c>
      <c r="M399" s="21">
        <f t="shared" si="67"/>
        <v>34.41369603434962</v>
      </c>
    </row>
    <row r="400" spans="1:13" ht="56.25" customHeight="1">
      <c r="A400" s="27" t="s">
        <v>114</v>
      </c>
      <c r="B400" s="23">
        <v>614</v>
      </c>
      <c r="C400" s="24" t="s">
        <v>62</v>
      </c>
      <c r="D400" s="24" t="s">
        <v>20</v>
      </c>
      <c r="E400" s="24" t="s">
        <v>115</v>
      </c>
      <c r="F400" s="24"/>
      <c r="G400" s="20"/>
      <c r="H400" s="20"/>
      <c r="I400" s="20"/>
      <c r="J400" s="20"/>
      <c r="K400" s="20">
        <f>K401</f>
        <v>40170.46</v>
      </c>
      <c r="L400" s="69">
        <f>SUM(L401)</f>
        <v>13824.14</v>
      </c>
      <c r="M400" s="21">
        <f t="shared" si="67"/>
        <v>34.41369603434962</v>
      </c>
    </row>
    <row r="401" spans="1:13" ht="21" customHeight="1">
      <c r="A401" s="27" t="s">
        <v>170</v>
      </c>
      <c r="B401" s="23">
        <v>614</v>
      </c>
      <c r="C401" s="24" t="s">
        <v>62</v>
      </c>
      <c r="D401" s="24" t="s">
        <v>20</v>
      </c>
      <c r="E401" s="24" t="s">
        <v>171</v>
      </c>
      <c r="F401" s="24"/>
      <c r="G401" s="20"/>
      <c r="H401" s="20"/>
      <c r="I401" s="20"/>
      <c r="J401" s="20"/>
      <c r="K401" s="20">
        <f>K402+K404+K406+K408+K410+K416+K418+K420+K412+K414</f>
        <v>40170.46</v>
      </c>
      <c r="L401" s="69">
        <f>L402+L404+L406+L408+L410+L416+L418+L420+L412+L414</f>
        <v>13824.14</v>
      </c>
      <c r="M401" s="21">
        <f t="shared" si="67"/>
        <v>34.41369603434962</v>
      </c>
    </row>
    <row r="402" spans="1:13" ht="39.75" hidden="1" customHeight="1">
      <c r="A402" s="27" t="s">
        <v>347</v>
      </c>
      <c r="B402" s="23">
        <v>614</v>
      </c>
      <c r="C402" s="24" t="s">
        <v>62</v>
      </c>
      <c r="D402" s="24" t="s">
        <v>20</v>
      </c>
      <c r="E402" s="37" t="s">
        <v>348</v>
      </c>
      <c r="F402" s="25" t="s">
        <v>18</v>
      </c>
      <c r="G402" s="20"/>
      <c r="H402" s="20"/>
      <c r="I402" s="20"/>
      <c r="J402" s="20"/>
      <c r="K402" s="20">
        <f>K403</f>
        <v>0</v>
      </c>
      <c r="L402" s="62">
        <f>SUM(L403)</f>
        <v>0</v>
      </c>
      <c r="M402" s="21" t="e">
        <f t="shared" si="67"/>
        <v>#DIV/0!</v>
      </c>
    </row>
    <row r="403" spans="1:13" ht="39" hidden="1" customHeight="1">
      <c r="A403" s="27" t="s">
        <v>102</v>
      </c>
      <c r="B403" s="23">
        <v>614</v>
      </c>
      <c r="C403" s="24" t="s">
        <v>62</v>
      </c>
      <c r="D403" s="24" t="s">
        <v>20</v>
      </c>
      <c r="E403" s="37" t="s">
        <v>348</v>
      </c>
      <c r="F403" s="25" t="s">
        <v>32</v>
      </c>
      <c r="G403" s="20"/>
      <c r="H403" s="20"/>
      <c r="I403" s="20"/>
      <c r="J403" s="20"/>
      <c r="K403" s="20">
        <v>0</v>
      </c>
      <c r="L403" s="62">
        <v>0</v>
      </c>
      <c r="M403" s="21" t="e">
        <f t="shared" si="67"/>
        <v>#DIV/0!</v>
      </c>
    </row>
    <row r="404" spans="1:13" ht="39" customHeight="1">
      <c r="A404" s="27" t="s">
        <v>172</v>
      </c>
      <c r="B404" s="23">
        <v>614</v>
      </c>
      <c r="C404" s="24" t="s">
        <v>62</v>
      </c>
      <c r="D404" s="24" t="s">
        <v>20</v>
      </c>
      <c r="E404" s="37" t="s">
        <v>173</v>
      </c>
      <c r="F404" s="25" t="s">
        <v>18</v>
      </c>
      <c r="G404" s="20"/>
      <c r="H404" s="20"/>
      <c r="I404" s="20"/>
      <c r="J404" s="20"/>
      <c r="K404" s="20">
        <f>K405</f>
        <v>228.33</v>
      </c>
      <c r="L404" s="69">
        <f>SUM(L405)</f>
        <v>228.33</v>
      </c>
      <c r="M404" s="21">
        <f t="shared" si="67"/>
        <v>100</v>
      </c>
    </row>
    <row r="405" spans="1:13" ht="18" customHeight="1">
      <c r="A405" s="27" t="s">
        <v>33</v>
      </c>
      <c r="B405" s="23">
        <v>614</v>
      </c>
      <c r="C405" s="24" t="s">
        <v>62</v>
      </c>
      <c r="D405" s="24" t="s">
        <v>20</v>
      </c>
      <c r="E405" s="37" t="s">
        <v>173</v>
      </c>
      <c r="F405" s="25" t="s">
        <v>34</v>
      </c>
      <c r="G405" s="20"/>
      <c r="H405" s="20"/>
      <c r="I405" s="20"/>
      <c r="J405" s="20"/>
      <c r="K405" s="20">
        <v>228.33</v>
      </c>
      <c r="L405" s="69">
        <v>228.33</v>
      </c>
      <c r="M405" s="21">
        <f t="shared" si="67"/>
        <v>100</v>
      </c>
    </row>
    <row r="406" spans="1:13" ht="19.5" customHeight="1">
      <c r="A406" s="27" t="s">
        <v>349</v>
      </c>
      <c r="B406" s="23">
        <v>614</v>
      </c>
      <c r="C406" s="24" t="s">
        <v>62</v>
      </c>
      <c r="D406" s="24" t="s">
        <v>20</v>
      </c>
      <c r="E406" s="37" t="s">
        <v>350</v>
      </c>
      <c r="F406" s="25" t="s">
        <v>18</v>
      </c>
      <c r="G406" s="20"/>
      <c r="H406" s="20"/>
      <c r="I406" s="20"/>
      <c r="J406" s="20"/>
      <c r="K406" s="20">
        <f>K407</f>
        <v>170.32</v>
      </c>
      <c r="L406" s="69">
        <f>SUM(L407)</f>
        <v>170.32</v>
      </c>
      <c r="M406" s="21">
        <f t="shared" si="67"/>
        <v>100</v>
      </c>
    </row>
    <row r="407" spans="1:13" ht="18" customHeight="1">
      <c r="A407" s="27" t="s">
        <v>33</v>
      </c>
      <c r="B407" s="23">
        <v>614</v>
      </c>
      <c r="C407" s="24" t="s">
        <v>62</v>
      </c>
      <c r="D407" s="24" t="s">
        <v>20</v>
      </c>
      <c r="E407" s="37" t="s">
        <v>350</v>
      </c>
      <c r="F407" s="25" t="s">
        <v>34</v>
      </c>
      <c r="G407" s="20"/>
      <c r="H407" s="20"/>
      <c r="I407" s="20"/>
      <c r="J407" s="20"/>
      <c r="K407" s="20">
        <v>170.32</v>
      </c>
      <c r="L407" s="70">
        <v>170.32</v>
      </c>
      <c r="M407" s="21">
        <f t="shared" si="67"/>
        <v>100</v>
      </c>
    </row>
    <row r="408" spans="1:13" ht="19.5" hidden="1" customHeight="1">
      <c r="A408" s="27" t="s">
        <v>351</v>
      </c>
      <c r="B408" s="23">
        <v>614</v>
      </c>
      <c r="C408" s="24" t="s">
        <v>62</v>
      </c>
      <c r="D408" s="24" t="s">
        <v>20</v>
      </c>
      <c r="E408" s="37" t="s">
        <v>352</v>
      </c>
      <c r="F408" s="25" t="s">
        <v>18</v>
      </c>
      <c r="G408" s="20"/>
      <c r="H408" s="20"/>
      <c r="I408" s="20"/>
      <c r="J408" s="20"/>
      <c r="K408" s="20">
        <f>K409</f>
        <v>0</v>
      </c>
      <c r="L408" s="69">
        <f>SUM(L409)</f>
        <v>0</v>
      </c>
      <c r="M408" s="21" t="e">
        <f t="shared" si="67"/>
        <v>#DIV/0!</v>
      </c>
    </row>
    <row r="409" spans="1:13" ht="39.75" hidden="1" customHeight="1">
      <c r="A409" s="27" t="s">
        <v>102</v>
      </c>
      <c r="B409" s="23">
        <v>614</v>
      </c>
      <c r="C409" s="24" t="s">
        <v>62</v>
      </c>
      <c r="D409" s="24" t="s">
        <v>20</v>
      </c>
      <c r="E409" s="37" t="s">
        <v>352</v>
      </c>
      <c r="F409" s="25" t="s">
        <v>32</v>
      </c>
      <c r="G409" s="20"/>
      <c r="H409" s="20"/>
      <c r="I409" s="20"/>
      <c r="J409" s="20"/>
      <c r="K409" s="20">
        <v>0</v>
      </c>
      <c r="L409" s="69">
        <v>0</v>
      </c>
      <c r="M409" s="21" t="e">
        <f t="shared" si="67"/>
        <v>#DIV/0!</v>
      </c>
    </row>
    <row r="410" spans="1:13" ht="57" customHeight="1">
      <c r="A410" s="55" t="s">
        <v>470</v>
      </c>
      <c r="B410" s="23">
        <v>614</v>
      </c>
      <c r="C410" s="24" t="s">
        <v>62</v>
      </c>
      <c r="D410" s="24" t="s">
        <v>20</v>
      </c>
      <c r="E410" s="24" t="s">
        <v>469</v>
      </c>
      <c r="F410" s="24" t="s">
        <v>95</v>
      </c>
      <c r="G410" s="20"/>
      <c r="H410" s="20"/>
      <c r="I410" s="20"/>
      <c r="J410" s="20"/>
      <c r="K410" s="20">
        <f>K411</f>
        <v>400</v>
      </c>
      <c r="L410" s="69">
        <f>SUM(L411)</f>
        <v>393.78</v>
      </c>
      <c r="M410" s="21">
        <f t="shared" si="67"/>
        <v>98.444999999999993</v>
      </c>
    </row>
    <row r="411" spans="1:13" ht="39.75" customHeight="1">
      <c r="A411" s="27" t="s">
        <v>102</v>
      </c>
      <c r="B411" s="23">
        <v>614</v>
      </c>
      <c r="C411" s="24" t="s">
        <v>62</v>
      </c>
      <c r="D411" s="24" t="s">
        <v>20</v>
      </c>
      <c r="E411" s="24" t="s">
        <v>469</v>
      </c>
      <c r="F411" s="24" t="s">
        <v>32</v>
      </c>
      <c r="G411" s="20"/>
      <c r="H411" s="20"/>
      <c r="I411" s="20"/>
      <c r="J411" s="20"/>
      <c r="K411" s="20">
        <v>400</v>
      </c>
      <c r="L411" s="69">
        <v>393.78</v>
      </c>
      <c r="M411" s="21">
        <f t="shared" si="67"/>
        <v>98.444999999999993</v>
      </c>
    </row>
    <row r="412" spans="1:13" ht="63.75" customHeight="1">
      <c r="A412" s="55" t="s">
        <v>473</v>
      </c>
      <c r="B412" s="23">
        <v>614</v>
      </c>
      <c r="C412" s="24" t="s">
        <v>62</v>
      </c>
      <c r="D412" s="24" t="s">
        <v>20</v>
      </c>
      <c r="E412" s="24" t="s">
        <v>471</v>
      </c>
      <c r="F412" s="24" t="s">
        <v>95</v>
      </c>
      <c r="G412" s="20"/>
      <c r="H412" s="20"/>
      <c r="I412" s="20"/>
      <c r="J412" s="20"/>
      <c r="K412" s="20">
        <f>K413</f>
        <v>323.81</v>
      </c>
      <c r="L412" s="69">
        <f>L413</f>
        <v>0</v>
      </c>
      <c r="M412" s="21">
        <f t="shared" si="67"/>
        <v>0</v>
      </c>
    </row>
    <row r="413" spans="1:13" ht="39.75" customHeight="1">
      <c r="A413" s="22" t="s">
        <v>400</v>
      </c>
      <c r="B413" s="23">
        <v>614</v>
      </c>
      <c r="C413" s="24" t="s">
        <v>62</v>
      </c>
      <c r="D413" s="24" t="s">
        <v>20</v>
      </c>
      <c r="E413" s="24" t="s">
        <v>471</v>
      </c>
      <c r="F413" s="24" t="s">
        <v>401</v>
      </c>
      <c r="G413" s="20"/>
      <c r="H413" s="20"/>
      <c r="I413" s="20"/>
      <c r="J413" s="20"/>
      <c r="K413" s="20">
        <v>323.81</v>
      </c>
      <c r="L413" s="69">
        <v>0</v>
      </c>
      <c r="M413" s="21">
        <f t="shared" si="67"/>
        <v>0</v>
      </c>
    </row>
    <row r="414" spans="1:13" ht="58.5" customHeight="1">
      <c r="A414" s="55" t="s">
        <v>473</v>
      </c>
      <c r="B414" s="23">
        <v>614</v>
      </c>
      <c r="C414" s="24" t="s">
        <v>62</v>
      </c>
      <c r="D414" s="24" t="s">
        <v>20</v>
      </c>
      <c r="E414" s="24" t="s">
        <v>472</v>
      </c>
      <c r="F414" s="24" t="s">
        <v>95</v>
      </c>
      <c r="G414" s="20"/>
      <c r="H414" s="20"/>
      <c r="I414" s="20"/>
      <c r="J414" s="20"/>
      <c r="K414" s="20">
        <f>K415</f>
        <v>6152.32</v>
      </c>
      <c r="L414" s="69">
        <f>L415</f>
        <v>0</v>
      </c>
      <c r="M414" s="21">
        <f t="shared" si="67"/>
        <v>0</v>
      </c>
    </row>
    <row r="415" spans="1:13" ht="39.75" customHeight="1">
      <c r="A415" s="22" t="s">
        <v>400</v>
      </c>
      <c r="B415" s="23">
        <v>614</v>
      </c>
      <c r="C415" s="24" t="s">
        <v>62</v>
      </c>
      <c r="D415" s="24" t="s">
        <v>20</v>
      </c>
      <c r="E415" s="24" t="s">
        <v>472</v>
      </c>
      <c r="F415" s="24" t="s">
        <v>401</v>
      </c>
      <c r="G415" s="20"/>
      <c r="H415" s="20"/>
      <c r="I415" s="20"/>
      <c r="J415" s="20"/>
      <c r="K415" s="20">
        <v>6152.32</v>
      </c>
      <c r="L415" s="69">
        <v>0</v>
      </c>
      <c r="M415" s="21">
        <f t="shared" si="67"/>
        <v>0</v>
      </c>
    </row>
    <row r="416" spans="1:13" ht="84" customHeight="1">
      <c r="A416" s="27" t="s">
        <v>459</v>
      </c>
      <c r="B416" s="23">
        <v>614</v>
      </c>
      <c r="C416" s="24" t="s">
        <v>62</v>
      </c>
      <c r="D416" s="24" t="s">
        <v>20</v>
      </c>
      <c r="E416" s="24" t="s">
        <v>457</v>
      </c>
      <c r="F416" s="24" t="s">
        <v>95</v>
      </c>
      <c r="G416" s="20"/>
      <c r="H416" s="20"/>
      <c r="I416" s="20"/>
      <c r="J416" s="20"/>
      <c r="K416" s="20">
        <f>K417</f>
        <v>9234.24</v>
      </c>
      <c r="L416" s="69">
        <f>L417</f>
        <v>7519.46</v>
      </c>
      <c r="M416" s="21">
        <f t="shared" si="67"/>
        <v>81.430198911875806</v>
      </c>
    </row>
    <row r="417" spans="1:13" ht="43.5" customHeight="1">
      <c r="A417" s="22" t="s">
        <v>400</v>
      </c>
      <c r="B417" s="23">
        <v>614</v>
      </c>
      <c r="C417" s="24" t="s">
        <v>62</v>
      </c>
      <c r="D417" s="24" t="s">
        <v>20</v>
      </c>
      <c r="E417" s="24" t="s">
        <v>457</v>
      </c>
      <c r="F417" s="24" t="s">
        <v>401</v>
      </c>
      <c r="G417" s="20"/>
      <c r="H417" s="20"/>
      <c r="I417" s="20"/>
      <c r="J417" s="20"/>
      <c r="K417" s="20">
        <v>9234.24</v>
      </c>
      <c r="L417" s="69">
        <v>7519.46</v>
      </c>
      <c r="M417" s="21">
        <f t="shared" si="67"/>
        <v>81.430198911875806</v>
      </c>
    </row>
    <row r="418" spans="1:13" s="57" customFormat="1" ht="42.75" customHeight="1">
      <c r="A418" s="27" t="s">
        <v>460</v>
      </c>
      <c r="B418" s="28">
        <v>614</v>
      </c>
      <c r="C418" s="25" t="s">
        <v>62</v>
      </c>
      <c r="D418" s="25" t="s">
        <v>20</v>
      </c>
      <c r="E418" s="25" t="s">
        <v>458</v>
      </c>
      <c r="F418" s="25" t="s">
        <v>95</v>
      </c>
      <c r="G418" s="26"/>
      <c r="H418" s="26"/>
      <c r="I418" s="26"/>
      <c r="J418" s="26"/>
      <c r="K418" s="26">
        <f>K419</f>
        <v>18692.53</v>
      </c>
      <c r="L418" s="70">
        <f>L419</f>
        <v>4298.0200000000004</v>
      </c>
      <c r="M418" s="56">
        <f t="shared" si="67"/>
        <v>22.993249174937798</v>
      </c>
    </row>
    <row r="419" spans="1:13" s="57" customFormat="1" ht="39.75" customHeight="1">
      <c r="A419" s="22" t="s">
        <v>400</v>
      </c>
      <c r="B419" s="28">
        <v>614</v>
      </c>
      <c r="C419" s="25" t="s">
        <v>62</v>
      </c>
      <c r="D419" s="25" t="s">
        <v>20</v>
      </c>
      <c r="E419" s="25" t="s">
        <v>458</v>
      </c>
      <c r="F419" s="25" t="s">
        <v>401</v>
      </c>
      <c r="G419" s="26"/>
      <c r="H419" s="26"/>
      <c r="I419" s="26"/>
      <c r="J419" s="26"/>
      <c r="K419" s="26">
        <v>18692.53</v>
      </c>
      <c r="L419" s="70">
        <v>4298.0200000000004</v>
      </c>
      <c r="M419" s="56">
        <f t="shared" si="67"/>
        <v>22.993249174937798</v>
      </c>
    </row>
    <row r="420" spans="1:13" s="57" customFormat="1" ht="39.75" customHeight="1">
      <c r="A420" s="27" t="s">
        <v>460</v>
      </c>
      <c r="B420" s="28">
        <v>614</v>
      </c>
      <c r="C420" s="25" t="s">
        <v>62</v>
      </c>
      <c r="D420" s="25" t="s">
        <v>20</v>
      </c>
      <c r="E420" s="25" t="s">
        <v>458</v>
      </c>
      <c r="F420" s="25" t="s">
        <v>95</v>
      </c>
      <c r="G420" s="26"/>
      <c r="H420" s="26"/>
      <c r="I420" s="26"/>
      <c r="J420" s="26"/>
      <c r="K420" s="26">
        <f>K421</f>
        <v>4968.91</v>
      </c>
      <c r="L420" s="70">
        <f>L421</f>
        <v>1214.23</v>
      </c>
      <c r="M420" s="56">
        <f t="shared" si="67"/>
        <v>24.436546445799987</v>
      </c>
    </row>
    <row r="421" spans="1:13" s="57" customFormat="1" ht="39.75" customHeight="1">
      <c r="A421" s="22" t="s">
        <v>400</v>
      </c>
      <c r="B421" s="28">
        <v>614</v>
      </c>
      <c r="C421" s="25" t="s">
        <v>62</v>
      </c>
      <c r="D421" s="25" t="s">
        <v>20</v>
      </c>
      <c r="E421" s="25" t="s">
        <v>458</v>
      </c>
      <c r="F421" s="25" t="s">
        <v>401</v>
      </c>
      <c r="G421" s="26"/>
      <c r="H421" s="26"/>
      <c r="I421" s="26"/>
      <c r="J421" s="26"/>
      <c r="K421" s="26">
        <v>4968.91</v>
      </c>
      <c r="L421" s="70">
        <v>1214.23</v>
      </c>
      <c r="M421" s="56">
        <f t="shared" si="67"/>
        <v>24.436546445799987</v>
      </c>
    </row>
    <row r="422" spans="1:13" ht="19.5" customHeight="1">
      <c r="A422" s="27" t="s">
        <v>353</v>
      </c>
      <c r="B422" s="23">
        <v>614</v>
      </c>
      <c r="C422" s="24" t="s">
        <v>62</v>
      </c>
      <c r="D422" s="24" t="s">
        <v>46</v>
      </c>
      <c r="E422" s="24" t="s">
        <v>18</v>
      </c>
      <c r="F422" s="24" t="s">
        <v>18</v>
      </c>
      <c r="G422" s="20"/>
      <c r="H422" s="20"/>
      <c r="I422" s="20"/>
      <c r="J422" s="20"/>
      <c r="K422" s="20">
        <f>K423</f>
        <v>9786.130000000001</v>
      </c>
      <c r="L422" s="69">
        <f>SUM(L423)</f>
        <v>9647.0300000000007</v>
      </c>
      <c r="M422" s="21">
        <f t="shared" si="67"/>
        <v>98.578600529524948</v>
      </c>
    </row>
    <row r="423" spans="1:13" ht="57.75" customHeight="1">
      <c r="A423" s="27" t="s">
        <v>114</v>
      </c>
      <c r="B423" s="23">
        <v>614</v>
      </c>
      <c r="C423" s="24" t="s">
        <v>62</v>
      </c>
      <c r="D423" s="24" t="s">
        <v>46</v>
      </c>
      <c r="E423" s="24" t="s">
        <v>115</v>
      </c>
      <c r="F423" s="24" t="s">
        <v>18</v>
      </c>
      <c r="G423" s="20"/>
      <c r="H423" s="20"/>
      <c r="I423" s="20"/>
      <c r="J423" s="20"/>
      <c r="K423" s="20">
        <f>K424</f>
        <v>9786.130000000001</v>
      </c>
      <c r="L423" s="69">
        <f>SUM(L424)</f>
        <v>9647.0300000000007</v>
      </c>
      <c r="M423" s="21">
        <f t="shared" si="67"/>
        <v>98.578600529524948</v>
      </c>
    </row>
    <row r="424" spans="1:13" ht="36.75" customHeight="1">
      <c r="A424" s="27" t="s">
        <v>354</v>
      </c>
      <c r="B424" s="31">
        <v>614</v>
      </c>
      <c r="C424" s="24" t="s">
        <v>62</v>
      </c>
      <c r="D424" s="24" t="s">
        <v>46</v>
      </c>
      <c r="E424" s="24" t="s">
        <v>355</v>
      </c>
      <c r="F424" s="24" t="s">
        <v>18</v>
      </c>
      <c r="G424" s="20"/>
      <c r="H424" s="20"/>
      <c r="I424" s="20"/>
      <c r="J424" s="20"/>
      <c r="K424" s="20">
        <f>K425+K427+K429+K431</f>
        <v>9786.130000000001</v>
      </c>
      <c r="L424" s="69">
        <f>L425+L427+L429+L431</f>
        <v>9647.0300000000007</v>
      </c>
      <c r="M424" s="21">
        <f t="shared" si="67"/>
        <v>98.578600529524948</v>
      </c>
    </row>
    <row r="425" spans="1:13" ht="40.5" customHeight="1">
      <c r="A425" s="27" t="s">
        <v>356</v>
      </c>
      <c r="B425" s="23">
        <v>614</v>
      </c>
      <c r="C425" s="24" t="s">
        <v>62</v>
      </c>
      <c r="D425" s="24" t="s">
        <v>46</v>
      </c>
      <c r="E425" s="24" t="s">
        <v>357</v>
      </c>
      <c r="F425" s="24" t="s">
        <v>18</v>
      </c>
      <c r="G425" s="20"/>
      <c r="H425" s="20"/>
      <c r="I425" s="20"/>
      <c r="J425" s="20"/>
      <c r="K425" s="20">
        <f>K426</f>
        <v>1065.75</v>
      </c>
      <c r="L425" s="69">
        <f>SUM(L426)</f>
        <v>1054.5999999999999</v>
      </c>
      <c r="M425" s="21">
        <f t="shared" si="67"/>
        <v>98.953788411916477</v>
      </c>
    </row>
    <row r="426" spans="1:13" s="38" customFormat="1" ht="38.25" customHeight="1">
      <c r="A426" s="27" t="s">
        <v>102</v>
      </c>
      <c r="B426" s="31">
        <v>614</v>
      </c>
      <c r="C426" s="24" t="s">
        <v>62</v>
      </c>
      <c r="D426" s="24" t="s">
        <v>46</v>
      </c>
      <c r="E426" s="24" t="s">
        <v>357</v>
      </c>
      <c r="F426" s="24" t="s">
        <v>32</v>
      </c>
      <c r="G426" s="20"/>
      <c r="H426" s="20"/>
      <c r="I426" s="20"/>
      <c r="J426" s="20"/>
      <c r="K426" s="20">
        <v>1065.75</v>
      </c>
      <c r="L426" s="72">
        <v>1054.5999999999999</v>
      </c>
      <c r="M426" s="21">
        <f t="shared" si="67"/>
        <v>98.953788411916477</v>
      </c>
    </row>
    <row r="427" spans="1:13" s="38" customFormat="1" ht="93" customHeight="1">
      <c r="A427" s="55" t="s">
        <v>449</v>
      </c>
      <c r="B427" s="52">
        <v>614</v>
      </c>
      <c r="C427" s="53" t="s">
        <v>62</v>
      </c>
      <c r="D427" s="53" t="s">
        <v>46</v>
      </c>
      <c r="E427" s="53" t="s">
        <v>450</v>
      </c>
      <c r="F427" s="53" t="s">
        <v>18</v>
      </c>
      <c r="G427" s="20"/>
      <c r="H427" s="20"/>
      <c r="I427" s="20"/>
      <c r="J427" s="20"/>
      <c r="K427" s="20">
        <f>K428</f>
        <v>3726.38</v>
      </c>
      <c r="L427" s="69">
        <f>L428</f>
        <v>3688.84</v>
      </c>
      <c r="M427" s="21">
        <f t="shared" si="67"/>
        <v>98.992587980828588</v>
      </c>
    </row>
    <row r="428" spans="1:13" s="38" customFormat="1" ht="38.25" customHeight="1">
      <c r="A428" s="55" t="s">
        <v>102</v>
      </c>
      <c r="B428" s="60">
        <v>614</v>
      </c>
      <c r="C428" s="53" t="s">
        <v>62</v>
      </c>
      <c r="D428" s="53" t="s">
        <v>46</v>
      </c>
      <c r="E428" s="53" t="s">
        <v>450</v>
      </c>
      <c r="F428" s="53" t="s">
        <v>32</v>
      </c>
      <c r="G428" s="20"/>
      <c r="H428" s="20"/>
      <c r="I428" s="20"/>
      <c r="J428" s="20"/>
      <c r="K428" s="20">
        <v>3726.38</v>
      </c>
      <c r="L428" s="72">
        <v>3688.84</v>
      </c>
      <c r="M428" s="21">
        <f>SUM(L428/K428*100)</f>
        <v>98.992587980828588</v>
      </c>
    </row>
    <row r="429" spans="1:13">
      <c r="A429" s="48" t="s">
        <v>358</v>
      </c>
      <c r="B429" s="23">
        <v>614</v>
      </c>
      <c r="C429" s="24" t="s">
        <v>62</v>
      </c>
      <c r="D429" s="24" t="s">
        <v>46</v>
      </c>
      <c r="E429" s="24" t="s">
        <v>359</v>
      </c>
      <c r="F429" s="24" t="s">
        <v>18</v>
      </c>
      <c r="G429" s="20"/>
      <c r="H429" s="20"/>
      <c r="I429" s="20"/>
      <c r="J429" s="20"/>
      <c r="K429" s="20">
        <f>K430</f>
        <v>994</v>
      </c>
      <c r="L429" s="69">
        <f>SUM(L430)</f>
        <v>943.59</v>
      </c>
      <c r="M429" s="21">
        <f t="shared" ref="M429:M500" si="68">SUM(L429/K429*100)</f>
        <v>94.928571428571431</v>
      </c>
    </row>
    <row r="430" spans="1:13" ht="18" customHeight="1">
      <c r="A430" s="27" t="s">
        <v>33</v>
      </c>
      <c r="B430" s="23">
        <v>614</v>
      </c>
      <c r="C430" s="24" t="s">
        <v>62</v>
      </c>
      <c r="D430" s="24" t="s">
        <v>46</v>
      </c>
      <c r="E430" s="24" t="s">
        <v>359</v>
      </c>
      <c r="F430" s="24" t="s">
        <v>34</v>
      </c>
      <c r="G430" s="20"/>
      <c r="H430" s="20"/>
      <c r="I430" s="20"/>
      <c r="J430" s="20"/>
      <c r="K430" s="20">
        <v>994</v>
      </c>
      <c r="L430" s="69">
        <v>943.59</v>
      </c>
      <c r="M430" s="21">
        <f t="shared" si="68"/>
        <v>94.928571428571431</v>
      </c>
    </row>
    <row r="431" spans="1:13" ht="41.25" customHeight="1">
      <c r="A431" s="27" t="s">
        <v>462</v>
      </c>
      <c r="B431" s="23">
        <v>614</v>
      </c>
      <c r="C431" s="24" t="s">
        <v>62</v>
      </c>
      <c r="D431" s="24" t="s">
        <v>46</v>
      </c>
      <c r="E431" s="24" t="s">
        <v>461</v>
      </c>
      <c r="F431" s="24" t="s">
        <v>18</v>
      </c>
      <c r="G431" s="20"/>
      <c r="H431" s="20"/>
      <c r="I431" s="20"/>
      <c r="J431" s="20"/>
      <c r="K431" s="20">
        <f>K432</f>
        <v>4000</v>
      </c>
      <c r="L431" s="69">
        <f>L432</f>
        <v>3960</v>
      </c>
      <c r="M431" s="21">
        <f t="shared" si="68"/>
        <v>99</v>
      </c>
    </row>
    <row r="432" spans="1:13" ht="40.5" customHeight="1">
      <c r="A432" s="55" t="s">
        <v>102</v>
      </c>
      <c r="B432" s="23">
        <v>614</v>
      </c>
      <c r="C432" s="24" t="s">
        <v>62</v>
      </c>
      <c r="D432" s="24" t="s">
        <v>46</v>
      </c>
      <c r="E432" s="24" t="s">
        <v>461</v>
      </c>
      <c r="F432" s="24" t="s">
        <v>32</v>
      </c>
      <c r="G432" s="20"/>
      <c r="H432" s="20"/>
      <c r="I432" s="20"/>
      <c r="J432" s="20"/>
      <c r="K432" s="20">
        <v>4000</v>
      </c>
      <c r="L432" s="69">
        <v>3960</v>
      </c>
      <c r="M432" s="21">
        <f t="shared" si="68"/>
        <v>99</v>
      </c>
    </row>
    <row r="433" spans="1:13" ht="18.75" customHeight="1">
      <c r="A433" s="48" t="s">
        <v>360</v>
      </c>
      <c r="B433" s="23">
        <v>614</v>
      </c>
      <c r="C433" s="32" t="s">
        <v>62</v>
      </c>
      <c r="D433" s="32" t="s">
        <v>22</v>
      </c>
      <c r="E433" s="32" t="s">
        <v>18</v>
      </c>
      <c r="F433" s="32" t="s">
        <v>18</v>
      </c>
      <c r="G433" s="20"/>
      <c r="H433" s="20"/>
      <c r="I433" s="20"/>
      <c r="J433" s="20"/>
      <c r="K433" s="20">
        <f>K434</f>
        <v>35740.21</v>
      </c>
      <c r="L433" s="69">
        <f>SUM(L434)</f>
        <v>35732.050000000003</v>
      </c>
      <c r="M433" s="21">
        <f t="shared" si="68"/>
        <v>99.977168572876323</v>
      </c>
    </row>
    <row r="434" spans="1:13" ht="56.25" customHeight="1">
      <c r="A434" s="27" t="s">
        <v>114</v>
      </c>
      <c r="B434" s="23">
        <v>614</v>
      </c>
      <c r="C434" s="32" t="s">
        <v>62</v>
      </c>
      <c r="D434" s="32" t="s">
        <v>22</v>
      </c>
      <c r="E434" s="32" t="s">
        <v>115</v>
      </c>
      <c r="F434" s="32" t="s">
        <v>18</v>
      </c>
      <c r="G434" s="20"/>
      <c r="H434" s="20"/>
      <c r="I434" s="20"/>
      <c r="J434" s="20"/>
      <c r="K434" s="20">
        <f>K435</f>
        <v>35740.21</v>
      </c>
      <c r="L434" s="69">
        <f>SUM(L435)</f>
        <v>35732.050000000003</v>
      </c>
      <c r="M434" s="21">
        <f t="shared" si="68"/>
        <v>99.977168572876323</v>
      </c>
    </row>
    <row r="435" spans="1:13" ht="18.75" customHeight="1">
      <c r="A435" s="48" t="s">
        <v>361</v>
      </c>
      <c r="B435" s="31">
        <v>614</v>
      </c>
      <c r="C435" s="32" t="s">
        <v>62</v>
      </c>
      <c r="D435" s="32" t="s">
        <v>22</v>
      </c>
      <c r="E435" s="32" t="s">
        <v>362</v>
      </c>
      <c r="F435" s="32" t="s">
        <v>18</v>
      </c>
      <c r="G435" s="20"/>
      <c r="H435" s="20"/>
      <c r="I435" s="20"/>
      <c r="J435" s="20"/>
      <c r="K435" s="20">
        <f>K436+K438+K440+K442+K444</f>
        <v>35740.21</v>
      </c>
      <c r="L435" s="69">
        <f>SUM(L436+L438+L440+L442+L444)</f>
        <v>35732.050000000003</v>
      </c>
      <c r="M435" s="21">
        <f t="shared" si="68"/>
        <v>99.977168572876323</v>
      </c>
    </row>
    <row r="436" spans="1:13" ht="18" customHeight="1">
      <c r="A436" s="48" t="s">
        <v>363</v>
      </c>
      <c r="B436" s="31">
        <v>614</v>
      </c>
      <c r="C436" s="32" t="s">
        <v>62</v>
      </c>
      <c r="D436" s="32" t="s">
        <v>22</v>
      </c>
      <c r="E436" s="32" t="s">
        <v>364</v>
      </c>
      <c r="F436" s="32" t="s">
        <v>18</v>
      </c>
      <c r="G436" s="20"/>
      <c r="H436" s="20"/>
      <c r="I436" s="20"/>
      <c r="J436" s="20"/>
      <c r="K436" s="20">
        <f>K437</f>
        <v>11702.01</v>
      </c>
      <c r="L436" s="69">
        <f>SUM(L437)</f>
        <v>11701.94</v>
      </c>
      <c r="M436" s="21">
        <f t="shared" si="68"/>
        <v>99.999401812167307</v>
      </c>
    </row>
    <row r="437" spans="1:13" ht="37.5" customHeight="1">
      <c r="A437" s="27" t="s">
        <v>102</v>
      </c>
      <c r="B437" s="31">
        <v>614</v>
      </c>
      <c r="C437" s="32" t="s">
        <v>62</v>
      </c>
      <c r="D437" s="32" t="s">
        <v>22</v>
      </c>
      <c r="E437" s="32" t="s">
        <v>364</v>
      </c>
      <c r="F437" s="24" t="s">
        <v>32</v>
      </c>
      <c r="G437" s="20"/>
      <c r="H437" s="20"/>
      <c r="I437" s="20"/>
      <c r="J437" s="20"/>
      <c r="K437" s="20">
        <v>11702.01</v>
      </c>
      <c r="L437" s="69">
        <v>11701.94</v>
      </c>
      <c r="M437" s="21">
        <f t="shared" si="68"/>
        <v>99.999401812167307</v>
      </c>
    </row>
    <row r="438" spans="1:13" ht="18.75" customHeight="1">
      <c r="A438" s="48" t="s">
        <v>365</v>
      </c>
      <c r="B438" s="31">
        <v>614</v>
      </c>
      <c r="C438" s="32" t="s">
        <v>62</v>
      </c>
      <c r="D438" s="32" t="s">
        <v>22</v>
      </c>
      <c r="E438" s="32" t="s">
        <v>366</v>
      </c>
      <c r="F438" s="32" t="s">
        <v>18</v>
      </c>
      <c r="G438" s="20"/>
      <c r="H438" s="20"/>
      <c r="I438" s="20"/>
      <c r="J438" s="20"/>
      <c r="K438" s="20">
        <f>K439</f>
        <v>5550</v>
      </c>
      <c r="L438" s="69">
        <f>SUM(L439)</f>
        <v>5545.03</v>
      </c>
      <c r="M438" s="21">
        <f t="shared" si="68"/>
        <v>99.910450450450455</v>
      </c>
    </row>
    <row r="439" spans="1:13" ht="36.75" customHeight="1">
      <c r="A439" s="27" t="s">
        <v>102</v>
      </c>
      <c r="B439" s="23">
        <v>614</v>
      </c>
      <c r="C439" s="32" t="s">
        <v>62</v>
      </c>
      <c r="D439" s="32" t="s">
        <v>22</v>
      </c>
      <c r="E439" s="32" t="s">
        <v>366</v>
      </c>
      <c r="F439" s="24" t="s">
        <v>32</v>
      </c>
      <c r="G439" s="20"/>
      <c r="H439" s="20"/>
      <c r="I439" s="20"/>
      <c r="J439" s="20"/>
      <c r="K439" s="20">
        <v>5550</v>
      </c>
      <c r="L439" s="69">
        <v>5545.03</v>
      </c>
      <c r="M439" s="21">
        <f t="shared" si="68"/>
        <v>99.910450450450455</v>
      </c>
    </row>
    <row r="440" spans="1:13" ht="21" customHeight="1">
      <c r="A440" s="48" t="s">
        <v>367</v>
      </c>
      <c r="B440" s="31">
        <v>614</v>
      </c>
      <c r="C440" s="32" t="s">
        <v>62</v>
      </c>
      <c r="D440" s="32" t="s">
        <v>22</v>
      </c>
      <c r="E440" s="32" t="s">
        <v>368</v>
      </c>
      <c r="F440" s="32" t="s">
        <v>18</v>
      </c>
      <c r="G440" s="20"/>
      <c r="H440" s="20"/>
      <c r="I440" s="20"/>
      <c r="J440" s="20"/>
      <c r="K440" s="20">
        <f>K441</f>
        <v>699.05</v>
      </c>
      <c r="L440" s="69">
        <f>SUM(L441)</f>
        <v>698.97</v>
      </c>
      <c r="M440" s="21">
        <f t="shared" si="68"/>
        <v>99.988555897289189</v>
      </c>
    </row>
    <row r="441" spans="1:13" ht="37.5" customHeight="1">
      <c r="A441" s="27" t="s">
        <v>102</v>
      </c>
      <c r="B441" s="31">
        <v>614</v>
      </c>
      <c r="C441" s="32" t="s">
        <v>62</v>
      </c>
      <c r="D441" s="32" t="s">
        <v>22</v>
      </c>
      <c r="E441" s="32" t="s">
        <v>368</v>
      </c>
      <c r="F441" s="24" t="s">
        <v>32</v>
      </c>
      <c r="G441" s="20"/>
      <c r="H441" s="20"/>
      <c r="I441" s="20"/>
      <c r="J441" s="20"/>
      <c r="K441" s="20">
        <v>699.05</v>
      </c>
      <c r="L441" s="69">
        <v>698.97</v>
      </c>
      <c r="M441" s="21">
        <f t="shared" si="68"/>
        <v>99.988555897289189</v>
      </c>
    </row>
    <row r="442" spans="1:13" ht="18.75" customHeight="1">
      <c r="A442" s="48" t="s">
        <v>369</v>
      </c>
      <c r="B442" s="23">
        <v>614</v>
      </c>
      <c r="C442" s="32" t="s">
        <v>62</v>
      </c>
      <c r="D442" s="32" t="s">
        <v>22</v>
      </c>
      <c r="E442" s="32" t="s">
        <v>370</v>
      </c>
      <c r="F442" s="32" t="s">
        <v>18</v>
      </c>
      <c r="G442" s="20"/>
      <c r="H442" s="20"/>
      <c r="I442" s="20"/>
      <c r="J442" s="20"/>
      <c r="K442" s="20">
        <f>K443</f>
        <v>2973.37</v>
      </c>
      <c r="L442" s="69">
        <f>SUM(L443)</f>
        <v>2971.34</v>
      </c>
      <c r="M442" s="21">
        <f t="shared" si="68"/>
        <v>99.931727299327036</v>
      </c>
    </row>
    <row r="443" spans="1:13" ht="37.5">
      <c r="A443" s="27" t="s">
        <v>102</v>
      </c>
      <c r="B443" s="23">
        <v>614</v>
      </c>
      <c r="C443" s="32" t="s">
        <v>62</v>
      </c>
      <c r="D443" s="32" t="s">
        <v>22</v>
      </c>
      <c r="E443" s="32" t="s">
        <v>370</v>
      </c>
      <c r="F443" s="24" t="s">
        <v>32</v>
      </c>
      <c r="G443" s="20"/>
      <c r="H443" s="20"/>
      <c r="I443" s="20"/>
      <c r="J443" s="20"/>
      <c r="K443" s="20">
        <v>2973.37</v>
      </c>
      <c r="L443" s="69">
        <v>2971.34</v>
      </c>
      <c r="M443" s="21">
        <f t="shared" si="68"/>
        <v>99.931727299327036</v>
      </c>
    </row>
    <row r="444" spans="1:13" ht="39.75" customHeight="1">
      <c r="A444" s="49" t="s">
        <v>371</v>
      </c>
      <c r="B444" s="23">
        <v>614</v>
      </c>
      <c r="C444" s="32" t="s">
        <v>62</v>
      </c>
      <c r="D444" s="32" t="s">
        <v>22</v>
      </c>
      <c r="E444" s="32" t="s">
        <v>372</v>
      </c>
      <c r="F444" s="24" t="s">
        <v>18</v>
      </c>
      <c r="G444" s="20"/>
      <c r="H444" s="20"/>
      <c r="I444" s="20"/>
      <c r="J444" s="20"/>
      <c r="K444" s="20">
        <f>K445</f>
        <v>14815.78</v>
      </c>
      <c r="L444" s="69">
        <f>SUM(L445)</f>
        <v>14814.77</v>
      </c>
      <c r="M444" s="21">
        <f t="shared" si="68"/>
        <v>99.993182944131192</v>
      </c>
    </row>
    <row r="445" spans="1:13" ht="35.450000000000003" customHeight="1">
      <c r="A445" s="27" t="s">
        <v>102</v>
      </c>
      <c r="B445" s="23">
        <v>614</v>
      </c>
      <c r="C445" s="32" t="s">
        <v>62</v>
      </c>
      <c r="D445" s="32" t="s">
        <v>22</v>
      </c>
      <c r="E445" s="32" t="s">
        <v>372</v>
      </c>
      <c r="F445" s="24" t="s">
        <v>32</v>
      </c>
      <c r="G445" s="20"/>
      <c r="H445" s="20"/>
      <c r="I445" s="20"/>
      <c r="J445" s="20"/>
      <c r="K445" s="20">
        <v>14815.78</v>
      </c>
      <c r="L445" s="69">
        <v>14814.77</v>
      </c>
      <c r="M445" s="21">
        <f t="shared" si="68"/>
        <v>99.993182944131192</v>
      </c>
    </row>
    <row r="446" spans="1:13">
      <c r="A446" s="27" t="s">
        <v>373</v>
      </c>
      <c r="B446" s="23">
        <v>614</v>
      </c>
      <c r="C446" s="24" t="s">
        <v>62</v>
      </c>
      <c r="D446" s="24" t="s">
        <v>62</v>
      </c>
      <c r="E446" s="24" t="s">
        <v>18</v>
      </c>
      <c r="F446" s="24" t="s">
        <v>18</v>
      </c>
      <c r="G446" s="20"/>
      <c r="H446" s="20"/>
      <c r="I446" s="20"/>
      <c r="J446" s="20"/>
      <c r="K446" s="26">
        <f>K447</f>
        <v>9306.3200000000015</v>
      </c>
      <c r="L446" s="70">
        <f>SUM(L447)</f>
        <v>9185</v>
      </c>
      <c r="M446" s="21">
        <f t="shared" si="68"/>
        <v>98.696369778816958</v>
      </c>
    </row>
    <row r="447" spans="1:13" ht="56.25">
      <c r="A447" s="27" t="s">
        <v>114</v>
      </c>
      <c r="B447" s="23">
        <v>614</v>
      </c>
      <c r="C447" s="32" t="s">
        <v>62</v>
      </c>
      <c r="D447" s="32" t="s">
        <v>62</v>
      </c>
      <c r="E447" s="32" t="s">
        <v>115</v>
      </c>
      <c r="F447" s="32" t="s">
        <v>18</v>
      </c>
      <c r="G447" s="20"/>
      <c r="H447" s="20"/>
      <c r="I447" s="20"/>
      <c r="J447" s="20"/>
      <c r="K447" s="20">
        <f>K448</f>
        <v>9306.3200000000015</v>
      </c>
      <c r="L447" s="69">
        <f>SUM(L448)</f>
        <v>9185</v>
      </c>
      <c r="M447" s="21">
        <f t="shared" si="68"/>
        <v>98.696369778816958</v>
      </c>
    </row>
    <row r="448" spans="1:13" ht="37.5">
      <c r="A448" s="27" t="s">
        <v>242</v>
      </c>
      <c r="B448" s="23">
        <v>614</v>
      </c>
      <c r="C448" s="24" t="s">
        <v>62</v>
      </c>
      <c r="D448" s="24" t="s">
        <v>62</v>
      </c>
      <c r="E448" s="24" t="s">
        <v>374</v>
      </c>
      <c r="F448" s="24"/>
      <c r="G448" s="20"/>
      <c r="H448" s="20"/>
      <c r="I448" s="20"/>
      <c r="J448" s="20"/>
      <c r="K448" s="20">
        <f>K449+K453</f>
        <v>9306.3200000000015</v>
      </c>
      <c r="L448" s="69">
        <f>SUM(L449+L453)</f>
        <v>9185</v>
      </c>
      <c r="M448" s="21">
        <f t="shared" si="68"/>
        <v>98.696369778816958</v>
      </c>
    </row>
    <row r="449" spans="1:13" ht="21" customHeight="1">
      <c r="A449" s="27" t="s">
        <v>27</v>
      </c>
      <c r="B449" s="23">
        <v>614</v>
      </c>
      <c r="C449" s="24" t="s">
        <v>62</v>
      </c>
      <c r="D449" s="24" t="s">
        <v>62</v>
      </c>
      <c r="E449" s="24" t="s">
        <v>375</v>
      </c>
      <c r="F449" s="24" t="s">
        <v>18</v>
      </c>
      <c r="G449" s="20"/>
      <c r="H449" s="20"/>
      <c r="I449" s="20"/>
      <c r="J449" s="20"/>
      <c r="K449" s="20">
        <f>K450+K451+K452</f>
        <v>8854.1200000000008</v>
      </c>
      <c r="L449" s="69">
        <f>SUM(L450:L452)</f>
        <v>8732.7999999999993</v>
      </c>
      <c r="M449" s="21">
        <f t="shared" si="68"/>
        <v>98.629790425248345</v>
      </c>
    </row>
    <row r="450" spans="1:13" ht="75">
      <c r="A450" s="27" t="s">
        <v>29</v>
      </c>
      <c r="B450" s="23">
        <v>614</v>
      </c>
      <c r="C450" s="24" t="s">
        <v>62</v>
      </c>
      <c r="D450" s="24" t="s">
        <v>62</v>
      </c>
      <c r="E450" s="24" t="s">
        <v>375</v>
      </c>
      <c r="F450" s="24" t="s">
        <v>30</v>
      </c>
      <c r="G450" s="20"/>
      <c r="H450" s="20"/>
      <c r="I450" s="20"/>
      <c r="J450" s="20"/>
      <c r="K450" s="20">
        <v>7751.42</v>
      </c>
      <c r="L450" s="69">
        <v>7731</v>
      </c>
      <c r="M450" s="21">
        <f t="shared" si="68"/>
        <v>99.736564397233025</v>
      </c>
    </row>
    <row r="451" spans="1:13" ht="37.5">
      <c r="A451" s="27" t="s">
        <v>102</v>
      </c>
      <c r="B451" s="23">
        <v>614</v>
      </c>
      <c r="C451" s="24" t="s">
        <v>62</v>
      </c>
      <c r="D451" s="24" t="s">
        <v>62</v>
      </c>
      <c r="E451" s="24" t="s">
        <v>375</v>
      </c>
      <c r="F451" s="24" t="s">
        <v>32</v>
      </c>
      <c r="G451" s="20"/>
      <c r="H451" s="20"/>
      <c r="I451" s="20"/>
      <c r="J451" s="20"/>
      <c r="K451" s="20">
        <v>1077.0999999999999</v>
      </c>
      <c r="L451" s="69">
        <v>986.88</v>
      </c>
      <c r="M451" s="21">
        <f t="shared" si="68"/>
        <v>91.623804660662898</v>
      </c>
    </row>
    <row r="452" spans="1:13">
      <c r="A452" s="27" t="s">
        <v>33</v>
      </c>
      <c r="B452" s="23">
        <v>614</v>
      </c>
      <c r="C452" s="24" t="s">
        <v>62</v>
      </c>
      <c r="D452" s="24" t="s">
        <v>62</v>
      </c>
      <c r="E452" s="24" t="s">
        <v>375</v>
      </c>
      <c r="F452" s="24" t="s">
        <v>34</v>
      </c>
      <c r="G452" s="20"/>
      <c r="H452" s="20"/>
      <c r="I452" s="20"/>
      <c r="J452" s="20"/>
      <c r="K452" s="20">
        <v>25.6</v>
      </c>
      <c r="L452" s="69">
        <v>14.92</v>
      </c>
      <c r="M452" s="21">
        <f t="shared" si="68"/>
        <v>58.281249999999993</v>
      </c>
    </row>
    <row r="453" spans="1:13" ht="37.5">
      <c r="A453" s="27" t="s">
        <v>376</v>
      </c>
      <c r="B453" s="23">
        <v>614</v>
      </c>
      <c r="C453" s="24" t="s">
        <v>62</v>
      </c>
      <c r="D453" s="24" t="s">
        <v>62</v>
      </c>
      <c r="E453" s="25" t="s">
        <v>377</v>
      </c>
      <c r="F453" s="24" t="s">
        <v>18</v>
      </c>
      <c r="G453" s="20"/>
      <c r="H453" s="20"/>
      <c r="I453" s="20"/>
      <c r="J453" s="20"/>
      <c r="K453" s="20">
        <f>K454+K455+K456</f>
        <v>452.20000000000005</v>
      </c>
      <c r="L453" s="69">
        <f>SUM(L454:L456)</f>
        <v>452.20000000000005</v>
      </c>
      <c r="M453" s="21">
        <f t="shared" si="68"/>
        <v>100</v>
      </c>
    </row>
    <row r="454" spans="1:13" ht="75">
      <c r="A454" s="27" t="s">
        <v>29</v>
      </c>
      <c r="B454" s="23">
        <v>614</v>
      </c>
      <c r="C454" s="24" t="s">
        <v>62</v>
      </c>
      <c r="D454" s="24" t="s">
        <v>62</v>
      </c>
      <c r="E454" s="25" t="s">
        <v>377</v>
      </c>
      <c r="F454" s="24" t="s">
        <v>30</v>
      </c>
      <c r="G454" s="20"/>
      <c r="H454" s="20"/>
      <c r="I454" s="20"/>
      <c r="J454" s="20"/>
      <c r="K454" s="20">
        <v>387.23</v>
      </c>
      <c r="L454" s="69">
        <v>387.23</v>
      </c>
      <c r="M454" s="21">
        <f t="shared" si="68"/>
        <v>100</v>
      </c>
    </row>
    <row r="455" spans="1:13" ht="37.5">
      <c r="A455" s="27" t="s">
        <v>102</v>
      </c>
      <c r="B455" s="23">
        <v>614</v>
      </c>
      <c r="C455" s="24" t="s">
        <v>62</v>
      </c>
      <c r="D455" s="24" t="s">
        <v>62</v>
      </c>
      <c r="E455" s="25" t="s">
        <v>377</v>
      </c>
      <c r="F455" s="24" t="s">
        <v>32</v>
      </c>
      <c r="G455" s="20"/>
      <c r="H455" s="20"/>
      <c r="I455" s="20"/>
      <c r="J455" s="20"/>
      <c r="K455" s="20">
        <v>61.29</v>
      </c>
      <c r="L455" s="69">
        <v>61.29</v>
      </c>
      <c r="M455" s="21">
        <f t="shared" si="68"/>
        <v>100</v>
      </c>
    </row>
    <row r="456" spans="1:13">
      <c r="A456" s="27" t="s">
        <v>33</v>
      </c>
      <c r="B456" s="23">
        <v>614</v>
      </c>
      <c r="C456" s="24" t="s">
        <v>62</v>
      </c>
      <c r="D456" s="24" t="s">
        <v>62</v>
      </c>
      <c r="E456" s="25" t="s">
        <v>377</v>
      </c>
      <c r="F456" s="24" t="s">
        <v>34</v>
      </c>
      <c r="G456" s="20"/>
      <c r="H456" s="20"/>
      <c r="I456" s="20"/>
      <c r="J456" s="20"/>
      <c r="K456" s="26">
        <v>3.68</v>
      </c>
      <c r="L456" s="70">
        <v>3.68</v>
      </c>
      <c r="M456" s="21">
        <f t="shared" si="68"/>
        <v>100</v>
      </c>
    </row>
    <row r="457" spans="1:13" ht="17.25" customHeight="1">
      <c r="A457" s="27" t="s">
        <v>247</v>
      </c>
      <c r="B457" s="23">
        <v>614</v>
      </c>
      <c r="C457" s="24">
        <v>10</v>
      </c>
      <c r="D457" s="24" t="s">
        <v>18</v>
      </c>
      <c r="E457" s="24" t="s">
        <v>18</v>
      </c>
      <c r="F457" s="24" t="s">
        <v>18</v>
      </c>
      <c r="G457" s="20"/>
      <c r="H457" s="20"/>
      <c r="I457" s="20"/>
      <c r="J457" s="20"/>
      <c r="K457" s="20">
        <f>K458</f>
        <v>7492.3099999999995</v>
      </c>
      <c r="L457" s="69">
        <f>SUM(L458)</f>
        <v>5005.7</v>
      </c>
      <c r="M457" s="21">
        <f t="shared" si="68"/>
        <v>66.811170386703168</v>
      </c>
    </row>
    <row r="458" spans="1:13">
      <c r="A458" s="27" t="s">
        <v>264</v>
      </c>
      <c r="B458" s="23">
        <v>614</v>
      </c>
      <c r="C458" s="24">
        <v>10</v>
      </c>
      <c r="D458" s="24" t="s">
        <v>22</v>
      </c>
      <c r="E458" s="24" t="s">
        <v>18</v>
      </c>
      <c r="F458" s="24" t="s">
        <v>18</v>
      </c>
      <c r="G458" s="20"/>
      <c r="H458" s="20"/>
      <c r="I458" s="20"/>
      <c r="J458" s="20"/>
      <c r="K458" s="20">
        <f>K459+K467</f>
        <v>7492.3099999999995</v>
      </c>
      <c r="L458" s="69">
        <f>SUM(L459+L467)</f>
        <v>5005.7</v>
      </c>
      <c r="M458" s="21">
        <f t="shared" si="68"/>
        <v>66.811170386703168</v>
      </c>
    </row>
    <row r="459" spans="1:13" ht="56.25">
      <c r="A459" s="27" t="s">
        <v>114</v>
      </c>
      <c r="B459" s="23">
        <v>614</v>
      </c>
      <c r="C459" s="32" t="s">
        <v>263</v>
      </c>
      <c r="D459" s="32" t="s">
        <v>22</v>
      </c>
      <c r="E459" s="24" t="s">
        <v>115</v>
      </c>
      <c r="F459" s="24" t="s">
        <v>18</v>
      </c>
      <c r="G459" s="20"/>
      <c r="H459" s="20"/>
      <c r="I459" s="20"/>
      <c r="J459" s="20"/>
      <c r="K459" s="20">
        <f>K460</f>
        <v>7387.61</v>
      </c>
      <c r="L459" s="69">
        <f>SUM(L460)</f>
        <v>4904.1499999999996</v>
      </c>
      <c r="M459" s="21">
        <f t="shared" si="68"/>
        <v>66.383444713513569</v>
      </c>
    </row>
    <row r="460" spans="1:13">
      <c r="A460" s="30" t="s">
        <v>378</v>
      </c>
      <c r="B460" s="23">
        <v>614</v>
      </c>
      <c r="C460" s="31">
        <v>10</v>
      </c>
      <c r="D460" s="32" t="s">
        <v>22</v>
      </c>
      <c r="E460" s="24" t="s">
        <v>379</v>
      </c>
      <c r="F460" s="24" t="s">
        <v>18</v>
      </c>
      <c r="G460" s="20"/>
      <c r="H460" s="20"/>
      <c r="I460" s="20"/>
      <c r="J460" s="20"/>
      <c r="K460" s="20">
        <f>K461+K463+K465</f>
        <v>7387.61</v>
      </c>
      <c r="L460" s="69">
        <f>L461+L463+L465</f>
        <v>4904.1499999999996</v>
      </c>
      <c r="M460" s="21">
        <f t="shared" si="68"/>
        <v>66.383444713513569</v>
      </c>
    </row>
    <row r="461" spans="1:13" ht="59.25" customHeight="1">
      <c r="A461" s="30" t="s">
        <v>488</v>
      </c>
      <c r="B461" s="23">
        <v>614</v>
      </c>
      <c r="C461" s="32" t="s">
        <v>263</v>
      </c>
      <c r="D461" s="32" t="s">
        <v>22</v>
      </c>
      <c r="E461" s="24" t="s">
        <v>380</v>
      </c>
      <c r="F461" s="24" t="s">
        <v>18</v>
      </c>
      <c r="G461" s="20"/>
      <c r="H461" s="20"/>
      <c r="I461" s="20"/>
      <c r="J461" s="20"/>
      <c r="K461" s="20">
        <f>K462</f>
        <v>1423.28</v>
      </c>
      <c r="L461" s="69">
        <f>SUM(L462)</f>
        <v>926.6</v>
      </c>
      <c r="M461" s="21">
        <f t="shared" si="68"/>
        <v>65.103142038109169</v>
      </c>
    </row>
    <row r="462" spans="1:13" ht="20.25" customHeight="1">
      <c r="A462" s="48" t="s">
        <v>141</v>
      </c>
      <c r="B462" s="23">
        <v>614</v>
      </c>
      <c r="C462" s="31">
        <v>10</v>
      </c>
      <c r="D462" s="32" t="s">
        <v>22</v>
      </c>
      <c r="E462" s="24" t="s">
        <v>380</v>
      </c>
      <c r="F462" s="24" t="s">
        <v>142</v>
      </c>
      <c r="G462" s="20"/>
      <c r="H462" s="20"/>
      <c r="I462" s="20"/>
      <c r="J462" s="20"/>
      <c r="K462" s="20">
        <v>1423.28</v>
      </c>
      <c r="L462" s="69">
        <v>926.6</v>
      </c>
      <c r="M462" s="21">
        <f t="shared" si="68"/>
        <v>65.103142038109169</v>
      </c>
    </row>
    <row r="463" spans="1:13" ht="112.5" customHeight="1">
      <c r="A463" s="30" t="s">
        <v>451</v>
      </c>
      <c r="B463" s="52">
        <v>614</v>
      </c>
      <c r="C463" s="58" t="s">
        <v>263</v>
      </c>
      <c r="D463" s="58" t="s">
        <v>22</v>
      </c>
      <c r="E463" s="53" t="s">
        <v>452</v>
      </c>
      <c r="F463" s="53" t="s">
        <v>18</v>
      </c>
      <c r="G463" s="20"/>
      <c r="H463" s="20"/>
      <c r="I463" s="20"/>
      <c r="J463" s="20"/>
      <c r="K463" s="20">
        <f>K464</f>
        <v>2420.09</v>
      </c>
      <c r="L463" s="69">
        <f>L464</f>
        <v>1630.57</v>
      </c>
      <c r="M463" s="21">
        <f t="shared" si="68"/>
        <v>67.376419885210865</v>
      </c>
    </row>
    <row r="464" spans="1:13" ht="20.25" customHeight="1">
      <c r="A464" s="61" t="s">
        <v>141</v>
      </c>
      <c r="B464" s="52">
        <v>614</v>
      </c>
      <c r="C464" s="60">
        <v>10</v>
      </c>
      <c r="D464" s="58" t="s">
        <v>22</v>
      </c>
      <c r="E464" s="53" t="s">
        <v>452</v>
      </c>
      <c r="F464" s="53" t="s">
        <v>142</v>
      </c>
      <c r="G464" s="20"/>
      <c r="H464" s="20"/>
      <c r="I464" s="20"/>
      <c r="J464" s="20"/>
      <c r="K464" s="20">
        <v>2420.09</v>
      </c>
      <c r="L464" s="69">
        <v>1630.57</v>
      </c>
      <c r="M464" s="21">
        <f t="shared" si="68"/>
        <v>67.376419885210865</v>
      </c>
    </row>
    <row r="465" spans="1:13" ht="57" customHeight="1">
      <c r="A465" s="30" t="s">
        <v>453</v>
      </c>
      <c r="B465" s="52">
        <v>614</v>
      </c>
      <c r="C465" s="58" t="s">
        <v>263</v>
      </c>
      <c r="D465" s="58" t="s">
        <v>22</v>
      </c>
      <c r="E465" s="53" t="s">
        <v>454</v>
      </c>
      <c r="F465" s="53" t="s">
        <v>18</v>
      </c>
      <c r="G465" s="20"/>
      <c r="H465" s="20"/>
      <c r="I465" s="20"/>
      <c r="J465" s="20"/>
      <c r="K465" s="20">
        <f>K466</f>
        <v>3544.24</v>
      </c>
      <c r="L465" s="69">
        <f>L466</f>
        <v>2346.98</v>
      </c>
      <c r="M465" s="21">
        <f t="shared" si="68"/>
        <v>66.219556237726579</v>
      </c>
    </row>
    <row r="466" spans="1:13" ht="20.25" customHeight="1">
      <c r="A466" s="61" t="s">
        <v>141</v>
      </c>
      <c r="B466" s="52">
        <v>614</v>
      </c>
      <c r="C466" s="60">
        <v>10</v>
      </c>
      <c r="D466" s="58" t="s">
        <v>22</v>
      </c>
      <c r="E466" s="53" t="s">
        <v>454</v>
      </c>
      <c r="F466" s="53" t="s">
        <v>142</v>
      </c>
      <c r="G466" s="20"/>
      <c r="H466" s="20"/>
      <c r="I466" s="20"/>
      <c r="J466" s="20"/>
      <c r="K466" s="20">
        <v>3544.24</v>
      </c>
      <c r="L466" s="69">
        <v>2346.98</v>
      </c>
      <c r="M466" s="21">
        <f t="shared" si="68"/>
        <v>66.219556237726579</v>
      </c>
    </row>
    <row r="467" spans="1:13" ht="57.75" customHeight="1">
      <c r="A467" s="48" t="s">
        <v>381</v>
      </c>
      <c r="B467" s="23">
        <v>614</v>
      </c>
      <c r="C467" s="32">
        <v>10</v>
      </c>
      <c r="D467" s="32" t="s">
        <v>22</v>
      </c>
      <c r="E467" s="32" t="s">
        <v>382</v>
      </c>
      <c r="F467" s="32" t="s">
        <v>18</v>
      </c>
      <c r="G467" s="20"/>
      <c r="H467" s="20"/>
      <c r="I467" s="20"/>
      <c r="J467" s="20"/>
      <c r="K467" s="20">
        <f>K468</f>
        <v>104.7</v>
      </c>
      <c r="L467" s="69">
        <f>SUM(L468)</f>
        <v>101.55</v>
      </c>
      <c r="M467" s="21">
        <f t="shared" si="68"/>
        <v>96.991404011461313</v>
      </c>
    </row>
    <row r="468" spans="1:13" ht="19.5" customHeight="1">
      <c r="A468" s="48" t="s">
        <v>383</v>
      </c>
      <c r="B468" s="23">
        <v>614</v>
      </c>
      <c r="C468" s="32">
        <v>10</v>
      </c>
      <c r="D468" s="32" t="s">
        <v>22</v>
      </c>
      <c r="E468" s="32" t="s">
        <v>384</v>
      </c>
      <c r="F468" s="32" t="s">
        <v>18</v>
      </c>
      <c r="G468" s="20"/>
      <c r="H468" s="20"/>
      <c r="I468" s="20"/>
      <c r="J468" s="20"/>
      <c r="K468" s="20">
        <f>K469</f>
        <v>104.7</v>
      </c>
      <c r="L468" s="69">
        <f>SUM(L469)</f>
        <v>101.55</v>
      </c>
      <c r="M468" s="21">
        <f t="shared" si="68"/>
        <v>96.991404011461313</v>
      </c>
    </row>
    <row r="469" spans="1:13" ht="18.600000000000001" customHeight="1">
      <c r="A469" s="50" t="s">
        <v>279</v>
      </c>
      <c r="B469" s="23">
        <v>614</v>
      </c>
      <c r="C469" s="24" t="s">
        <v>263</v>
      </c>
      <c r="D469" s="24" t="s">
        <v>22</v>
      </c>
      <c r="E469" s="32" t="s">
        <v>385</v>
      </c>
      <c r="F469" s="24" t="s">
        <v>18</v>
      </c>
      <c r="G469" s="20"/>
      <c r="H469" s="20"/>
      <c r="I469" s="20"/>
      <c r="J469" s="20"/>
      <c r="K469" s="20">
        <f>K470</f>
        <v>104.7</v>
      </c>
      <c r="L469" s="69">
        <f>SUM(L470)</f>
        <v>101.55</v>
      </c>
      <c r="M469" s="21">
        <f t="shared" si="68"/>
        <v>96.991404011461313</v>
      </c>
    </row>
    <row r="470" spans="1:13" ht="18" customHeight="1">
      <c r="A470" s="27" t="s">
        <v>33</v>
      </c>
      <c r="B470" s="23">
        <v>614</v>
      </c>
      <c r="C470" s="24" t="s">
        <v>263</v>
      </c>
      <c r="D470" s="24" t="s">
        <v>22</v>
      </c>
      <c r="E470" s="32" t="s">
        <v>385</v>
      </c>
      <c r="F470" s="24" t="s">
        <v>34</v>
      </c>
      <c r="G470" s="20"/>
      <c r="H470" s="20"/>
      <c r="I470" s="20"/>
      <c r="J470" s="20"/>
      <c r="K470" s="20">
        <v>104.7</v>
      </c>
      <c r="L470" s="69">
        <v>101.55</v>
      </c>
      <c r="M470" s="21">
        <f t="shared" si="68"/>
        <v>96.991404011461313</v>
      </c>
    </row>
    <row r="471" spans="1:13" ht="16.149999999999999" customHeight="1">
      <c r="A471" s="22"/>
      <c r="B471" s="23"/>
      <c r="C471" s="24"/>
      <c r="D471" s="24"/>
      <c r="E471" s="24"/>
      <c r="F471" s="24"/>
      <c r="G471" s="20"/>
      <c r="H471" s="20"/>
      <c r="I471" s="20"/>
      <c r="J471" s="20"/>
      <c r="K471" s="20"/>
      <c r="L471" s="69"/>
      <c r="M471" s="21"/>
    </row>
    <row r="472" spans="1:13" ht="40.5" customHeight="1">
      <c r="A472" s="1" t="s">
        <v>386</v>
      </c>
      <c r="B472" s="2">
        <v>637</v>
      </c>
      <c r="C472" s="18" t="s">
        <v>18</v>
      </c>
      <c r="D472" s="24" t="s">
        <v>18</v>
      </c>
      <c r="E472" s="18" t="s">
        <v>18</v>
      </c>
      <c r="F472" s="18" t="s">
        <v>18</v>
      </c>
      <c r="G472" s="19"/>
      <c r="H472" s="19"/>
      <c r="I472" s="19"/>
      <c r="J472" s="19"/>
      <c r="K472" s="20">
        <f>K473+K482+K490</f>
        <v>195353.72999999998</v>
      </c>
      <c r="L472" s="69">
        <f>SUM(L473+L482+L490)</f>
        <v>192594.64</v>
      </c>
      <c r="M472" s="21">
        <f t="shared" si="68"/>
        <v>98.58764406494825</v>
      </c>
    </row>
    <row r="473" spans="1:13">
      <c r="A473" s="22" t="s">
        <v>19</v>
      </c>
      <c r="B473" s="23">
        <v>637</v>
      </c>
      <c r="C473" s="24" t="s">
        <v>20</v>
      </c>
      <c r="D473" s="24" t="s">
        <v>18</v>
      </c>
      <c r="E473" s="24" t="s">
        <v>18</v>
      </c>
      <c r="F473" s="24" t="s">
        <v>18</v>
      </c>
      <c r="G473" s="20"/>
      <c r="H473" s="20"/>
      <c r="I473" s="20"/>
      <c r="J473" s="20"/>
      <c r="K473" s="20">
        <f>K474</f>
        <v>149.5</v>
      </c>
      <c r="L473" s="69">
        <f>SUM(L474)</f>
        <v>130.94</v>
      </c>
      <c r="M473" s="21">
        <f t="shared" si="68"/>
        <v>87.585284280936449</v>
      </c>
    </row>
    <row r="474" spans="1:13">
      <c r="A474" s="22" t="s">
        <v>73</v>
      </c>
      <c r="B474" s="2">
        <v>637</v>
      </c>
      <c r="C474" s="24" t="s">
        <v>20</v>
      </c>
      <c r="D474" s="24" t="s">
        <v>74</v>
      </c>
      <c r="E474" s="24" t="s">
        <v>18</v>
      </c>
      <c r="F474" s="24" t="s">
        <v>18</v>
      </c>
      <c r="G474" s="20"/>
      <c r="H474" s="20"/>
      <c r="I474" s="20"/>
      <c r="J474" s="20"/>
      <c r="K474" s="20">
        <f>K475</f>
        <v>149.5</v>
      </c>
      <c r="L474" s="69">
        <f>SUM(L475)</f>
        <v>130.94</v>
      </c>
      <c r="M474" s="21">
        <f t="shared" si="68"/>
        <v>87.585284280936449</v>
      </c>
    </row>
    <row r="475" spans="1:13" ht="45.75" customHeight="1">
      <c r="A475" s="22" t="s">
        <v>387</v>
      </c>
      <c r="B475" s="23">
        <v>637</v>
      </c>
      <c r="C475" s="24" t="s">
        <v>20</v>
      </c>
      <c r="D475" s="24" t="s">
        <v>74</v>
      </c>
      <c r="E475" s="24" t="s">
        <v>388</v>
      </c>
      <c r="F475" s="24" t="s">
        <v>18</v>
      </c>
      <c r="G475" s="20"/>
      <c r="H475" s="20"/>
      <c r="I475" s="20"/>
      <c r="J475" s="20"/>
      <c r="K475" s="20">
        <f>K476</f>
        <v>149.5</v>
      </c>
      <c r="L475" s="69">
        <f>SUM(L476)</f>
        <v>130.94</v>
      </c>
      <c r="M475" s="21">
        <f t="shared" si="68"/>
        <v>87.585284280936449</v>
      </c>
    </row>
    <row r="476" spans="1:13" ht="40.5" customHeight="1">
      <c r="A476" s="22" t="s">
        <v>389</v>
      </c>
      <c r="B476" s="2">
        <v>637</v>
      </c>
      <c r="C476" s="24" t="s">
        <v>20</v>
      </c>
      <c r="D476" s="24" t="s">
        <v>74</v>
      </c>
      <c r="E476" s="24" t="s">
        <v>390</v>
      </c>
      <c r="F476" s="24" t="s">
        <v>18</v>
      </c>
      <c r="G476" s="20"/>
      <c r="H476" s="20"/>
      <c r="I476" s="20"/>
      <c r="J476" s="20"/>
      <c r="K476" s="20">
        <f>K479+K477</f>
        <v>149.5</v>
      </c>
      <c r="L476" s="69">
        <f>L479+L477</f>
        <v>130.94</v>
      </c>
      <c r="M476" s="21">
        <f t="shared" si="68"/>
        <v>87.585284280936449</v>
      </c>
    </row>
    <row r="477" spans="1:13" ht="40.5" customHeight="1">
      <c r="A477" s="55" t="s">
        <v>158</v>
      </c>
      <c r="B477" s="2">
        <v>637</v>
      </c>
      <c r="C477" s="24" t="s">
        <v>20</v>
      </c>
      <c r="D477" s="24" t="s">
        <v>74</v>
      </c>
      <c r="E477" s="24" t="s">
        <v>474</v>
      </c>
      <c r="F477" s="24" t="s">
        <v>18</v>
      </c>
      <c r="G477" s="20"/>
      <c r="H477" s="20"/>
      <c r="I477" s="20"/>
      <c r="J477" s="20"/>
      <c r="K477" s="20">
        <f>K478</f>
        <v>60</v>
      </c>
      <c r="L477" s="69">
        <f>L478</f>
        <v>41.94</v>
      </c>
      <c r="M477" s="21">
        <f t="shared" si="68"/>
        <v>69.899999999999991</v>
      </c>
    </row>
    <row r="478" spans="1:13" ht="40.5" customHeight="1">
      <c r="A478" s="22" t="s">
        <v>102</v>
      </c>
      <c r="B478" s="2">
        <v>637</v>
      </c>
      <c r="C478" s="24" t="s">
        <v>20</v>
      </c>
      <c r="D478" s="24" t="s">
        <v>74</v>
      </c>
      <c r="E478" s="24" t="s">
        <v>474</v>
      </c>
      <c r="F478" s="24" t="s">
        <v>32</v>
      </c>
      <c r="G478" s="20"/>
      <c r="H478" s="20"/>
      <c r="I478" s="20"/>
      <c r="J478" s="20"/>
      <c r="K478" s="20">
        <v>60</v>
      </c>
      <c r="L478" s="69">
        <v>41.94</v>
      </c>
      <c r="M478" s="21">
        <f t="shared" si="68"/>
        <v>69.899999999999991</v>
      </c>
    </row>
    <row r="479" spans="1:13" ht="38.25" customHeight="1">
      <c r="A479" s="22" t="s">
        <v>391</v>
      </c>
      <c r="B479" s="23">
        <v>637</v>
      </c>
      <c r="C479" s="24" t="s">
        <v>20</v>
      </c>
      <c r="D479" s="24" t="s">
        <v>74</v>
      </c>
      <c r="E479" s="24" t="s">
        <v>392</v>
      </c>
      <c r="F479" s="24" t="s">
        <v>18</v>
      </c>
      <c r="G479" s="20"/>
      <c r="H479" s="20"/>
      <c r="I479" s="20"/>
      <c r="J479" s="20"/>
      <c r="K479" s="20">
        <f>K480+K481</f>
        <v>89.5</v>
      </c>
      <c r="L479" s="69">
        <f>SUM(L480:L481)</f>
        <v>89</v>
      </c>
      <c r="M479" s="21">
        <f t="shared" si="68"/>
        <v>99.441340782122893</v>
      </c>
    </row>
    <row r="480" spans="1:13" ht="39.75" customHeight="1">
      <c r="A480" s="22" t="s">
        <v>102</v>
      </c>
      <c r="B480" s="23">
        <v>637</v>
      </c>
      <c r="C480" s="24" t="s">
        <v>20</v>
      </c>
      <c r="D480" s="24" t="s">
        <v>74</v>
      </c>
      <c r="E480" s="24" t="s">
        <v>392</v>
      </c>
      <c r="F480" s="24" t="s">
        <v>32</v>
      </c>
      <c r="G480" s="20"/>
      <c r="H480" s="20"/>
      <c r="I480" s="20"/>
      <c r="J480" s="20"/>
      <c r="K480" s="20">
        <v>23.5</v>
      </c>
      <c r="L480" s="69">
        <v>23</v>
      </c>
      <c r="M480" s="21">
        <f t="shared" si="68"/>
        <v>97.872340425531917</v>
      </c>
    </row>
    <row r="481" spans="1:13" ht="21" customHeight="1">
      <c r="A481" s="22" t="s">
        <v>33</v>
      </c>
      <c r="B481" s="23">
        <v>637</v>
      </c>
      <c r="C481" s="24" t="s">
        <v>20</v>
      </c>
      <c r="D481" s="24" t="s">
        <v>74</v>
      </c>
      <c r="E481" s="24" t="s">
        <v>392</v>
      </c>
      <c r="F481" s="24" t="s">
        <v>34</v>
      </c>
      <c r="G481" s="20"/>
      <c r="H481" s="20"/>
      <c r="I481" s="20"/>
      <c r="J481" s="20"/>
      <c r="K481" s="20">
        <v>66</v>
      </c>
      <c r="L481" s="69">
        <v>66</v>
      </c>
      <c r="M481" s="21">
        <f t="shared" si="68"/>
        <v>100</v>
      </c>
    </row>
    <row r="482" spans="1:13" ht="19.5" customHeight="1">
      <c r="A482" s="22" t="s">
        <v>168</v>
      </c>
      <c r="B482" s="2">
        <v>637</v>
      </c>
      <c r="C482" s="42" t="s">
        <v>62</v>
      </c>
      <c r="D482" s="24" t="s">
        <v>18</v>
      </c>
      <c r="E482" s="42" t="s">
        <v>18</v>
      </c>
      <c r="F482" s="42" t="s">
        <v>18</v>
      </c>
      <c r="G482" s="20"/>
      <c r="H482" s="20"/>
      <c r="I482" s="20"/>
      <c r="J482" s="20"/>
      <c r="K482" s="20">
        <f>K483</f>
        <v>1892.24</v>
      </c>
      <c r="L482" s="69">
        <f>SUM(L483)</f>
        <v>1871.07</v>
      </c>
      <c r="M482" s="21">
        <f t="shared" si="68"/>
        <v>98.881220141208303</v>
      </c>
    </row>
    <row r="483" spans="1:13" ht="18.75" customHeight="1">
      <c r="A483" s="22" t="s">
        <v>373</v>
      </c>
      <c r="B483" s="2">
        <v>637</v>
      </c>
      <c r="C483" s="42" t="s">
        <v>62</v>
      </c>
      <c r="D483" s="24" t="s">
        <v>62</v>
      </c>
      <c r="E483" s="42" t="s">
        <v>18</v>
      </c>
      <c r="F483" s="42" t="s">
        <v>18</v>
      </c>
      <c r="G483" s="20"/>
      <c r="H483" s="20"/>
      <c r="I483" s="20"/>
      <c r="J483" s="20"/>
      <c r="K483" s="20">
        <f>K484</f>
        <v>1892.24</v>
      </c>
      <c r="L483" s="69">
        <f>SUM(L484)</f>
        <v>1871.07</v>
      </c>
      <c r="M483" s="21">
        <f t="shared" si="68"/>
        <v>98.881220141208303</v>
      </c>
    </row>
    <row r="484" spans="1:13" ht="42.75" customHeight="1">
      <c r="A484" s="22" t="s">
        <v>387</v>
      </c>
      <c r="B484" s="2">
        <v>637</v>
      </c>
      <c r="C484" s="42" t="s">
        <v>62</v>
      </c>
      <c r="D484" s="24" t="s">
        <v>62</v>
      </c>
      <c r="E484" s="24" t="s">
        <v>388</v>
      </c>
      <c r="F484" s="42" t="s">
        <v>18</v>
      </c>
      <c r="G484" s="20"/>
      <c r="H484" s="20"/>
      <c r="I484" s="20"/>
      <c r="J484" s="20"/>
      <c r="K484" s="20">
        <f>K485</f>
        <v>1892.24</v>
      </c>
      <c r="L484" s="69">
        <f>SUM(L485)</f>
        <v>1871.07</v>
      </c>
      <c r="M484" s="21">
        <f t="shared" si="68"/>
        <v>98.881220141208303</v>
      </c>
    </row>
    <row r="485" spans="1:13" ht="20.25" customHeight="1">
      <c r="A485" s="22" t="s">
        <v>393</v>
      </c>
      <c r="B485" s="43">
        <v>637</v>
      </c>
      <c r="C485" s="42" t="s">
        <v>62</v>
      </c>
      <c r="D485" s="24" t="s">
        <v>62</v>
      </c>
      <c r="E485" s="42" t="s">
        <v>394</v>
      </c>
      <c r="F485" s="42" t="s">
        <v>18</v>
      </c>
      <c r="G485" s="20"/>
      <c r="H485" s="20"/>
      <c r="I485" s="20"/>
      <c r="J485" s="20"/>
      <c r="K485" s="20">
        <f>K486</f>
        <v>1892.24</v>
      </c>
      <c r="L485" s="69">
        <f>SUM(L486)</f>
        <v>1871.07</v>
      </c>
      <c r="M485" s="21">
        <f t="shared" si="68"/>
        <v>98.881220141208303</v>
      </c>
    </row>
    <row r="486" spans="1:13" ht="20.25" customHeight="1">
      <c r="A486" s="22" t="s">
        <v>27</v>
      </c>
      <c r="B486" s="2">
        <v>637</v>
      </c>
      <c r="C486" s="42" t="s">
        <v>62</v>
      </c>
      <c r="D486" s="24" t="s">
        <v>62</v>
      </c>
      <c r="E486" s="42" t="s">
        <v>395</v>
      </c>
      <c r="F486" s="42" t="s">
        <v>18</v>
      </c>
      <c r="G486" s="20"/>
      <c r="H486" s="20"/>
      <c r="I486" s="20"/>
      <c r="J486" s="20"/>
      <c r="K486" s="20">
        <f>K487+K488+K489</f>
        <v>1892.24</v>
      </c>
      <c r="L486" s="69">
        <f>SUM(L487:L489)</f>
        <v>1871.07</v>
      </c>
      <c r="M486" s="21">
        <f t="shared" si="68"/>
        <v>98.881220141208303</v>
      </c>
    </row>
    <row r="487" spans="1:13" ht="77.25" customHeight="1">
      <c r="A487" s="22" t="s">
        <v>29</v>
      </c>
      <c r="B487" s="2">
        <v>637</v>
      </c>
      <c r="C487" s="42" t="s">
        <v>62</v>
      </c>
      <c r="D487" s="24" t="s">
        <v>62</v>
      </c>
      <c r="E487" s="42" t="s">
        <v>395</v>
      </c>
      <c r="F487" s="24" t="s">
        <v>30</v>
      </c>
      <c r="K487" s="20">
        <v>1702.75</v>
      </c>
      <c r="L487" s="69">
        <v>1701.92</v>
      </c>
      <c r="M487" s="21">
        <f t="shared" si="68"/>
        <v>99.9512553222728</v>
      </c>
    </row>
    <row r="488" spans="1:13" ht="37.5" customHeight="1">
      <c r="A488" s="22" t="s">
        <v>102</v>
      </c>
      <c r="B488" s="2">
        <v>637</v>
      </c>
      <c r="C488" s="42" t="s">
        <v>62</v>
      </c>
      <c r="D488" s="24" t="s">
        <v>62</v>
      </c>
      <c r="E488" s="42" t="s">
        <v>395</v>
      </c>
      <c r="F488" s="24" t="s">
        <v>32</v>
      </c>
      <c r="K488" s="20">
        <v>186.88</v>
      </c>
      <c r="L488" s="70">
        <v>166.54</v>
      </c>
      <c r="M488" s="21">
        <f t="shared" si="68"/>
        <v>89.116010273972606</v>
      </c>
    </row>
    <row r="489" spans="1:13" ht="19.5" customHeight="1">
      <c r="A489" s="22" t="s">
        <v>33</v>
      </c>
      <c r="B489" s="2">
        <v>637</v>
      </c>
      <c r="C489" s="42" t="s">
        <v>62</v>
      </c>
      <c r="D489" s="24" t="s">
        <v>62</v>
      </c>
      <c r="E489" s="42" t="s">
        <v>395</v>
      </c>
      <c r="F489" s="24" t="s">
        <v>34</v>
      </c>
      <c r="K489" s="20">
        <v>2.61</v>
      </c>
      <c r="L489" s="69">
        <v>2.61</v>
      </c>
      <c r="M489" s="21">
        <f t="shared" si="68"/>
        <v>100</v>
      </c>
    </row>
    <row r="490" spans="1:13" ht="18" customHeight="1">
      <c r="A490" s="22" t="s">
        <v>186</v>
      </c>
      <c r="B490" s="2">
        <v>637</v>
      </c>
      <c r="C490" s="24" t="s">
        <v>187</v>
      </c>
      <c r="D490" s="24" t="s">
        <v>18</v>
      </c>
      <c r="E490" s="24" t="s">
        <v>18</v>
      </c>
      <c r="F490" s="24" t="s">
        <v>18</v>
      </c>
      <c r="G490" s="20"/>
      <c r="H490" s="20"/>
      <c r="I490" s="20"/>
      <c r="J490" s="20"/>
      <c r="K490" s="20">
        <f>K491+K501</f>
        <v>193311.99</v>
      </c>
      <c r="L490" s="69">
        <f>L491+L501</f>
        <v>190592.63</v>
      </c>
      <c r="M490" s="21">
        <f t="shared" si="68"/>
        <v>98.593279185631488</v>
      </c>
    </row>
    <row r="491" spans="1:13" ht="18.75" customHeight="1">
      <c r="A491" s="22" t="s">
        <v>201</v>
      </c>
      <c r="B491" s="2">
        <v>637</v>
      </c>
      <c r="C491" s="24" t="s">
        <v>187</v>
      </c>
      <c r="D491" s="24" t="s">
        <v>20</v>
      </c>
      <c r="E491" s="24" t="s">
        <v>18</v>
      </c>
      <c r="F491" s="24" t="s">
        <v>18</v>
      </c>
      <c r="G491" s="20"/>
      <c r="H491" s="20"/>
      <c r="I491" s="20"/>
      <c r="J491" s="20"/>
      <c r="K491" s="20">
        <f>K492</f>
        <v>191513.47999999998</v>
      </c>
      <c r="L491" s="69">
        <f>SUM(L492)</f>
        <v>188794.12</v>
      </c>
      <c r="M491" s="21">
        <f t="shared" si="68"/>
        <v>98.580068619712833</v>
      </c>
    </row>
    <row r="492" spans="1:13" ht="38.25" customHeight="1">
      <c r="A492" s="30" t="s">
        <v>202</v>
      </c>
      <c r="B492" s="2">
        <v>637</v>
      </c>
      <c r="C492" s="24" t="s">
        <v>187</v>
      </c>
      <c r="D492" s="24" t="s">
        <v>20</v>
      </c>
      <c r="E492" s="24" t="s">
        <v>203</v>
      </c>
      <c r="F492" s="24"/>
      <c r="G492" s="20"/>
      <c r="H492" s="20"/>
      <c r="I492" s="20"/>
      <c r="J492" s="20"/>
      <c r="K492" s="20">
        <f>K493</f>
        <v>191513.47999999998</v>
      </c>
      <c r="L492" s="69">
        <f>SUM(L493)</f>
        <v>188794.12</v>
      </c>
      <c r="M492" s="21">
        <f t="shared" si="68"/>
        <v>98.580068619712833</v>
      </c>
    </row>
    <row r="493" spans="1:13" ht="36.75" customHeight="1">
      <c r="A493" s="22" t="s">
        <v>396</v>
      </c>
      <c r="B493" s="2">
        <v>637</v>
      </c>
      <c r="C493" s="24" t="s">
        <v>187</v>
      </c>
      <c r="D493" s="24" t="s">
        <v>20</v>
      </c>
      <c r="E493" s="24" t="s">
        <v>397</v>
      </c>
      <c r="F493" s="24"/>
      <c r="G493" s="20"/>
      <c r="H493" s="20"/>
      <c r="I493" s="20"/>
      <c r="J493" s="20"/>
      <c r="K493" s="20">
        <f>K494+K497+K499</f>
        <v>191513.47999999998</v>
      </c>
      <c r="L493" s="69">
        <f>SUM(L494+L497+L499)</f>
        <v>188794.12</v>
      </c>
      <c r="M493" s="21">
        <f t="shared" si="68"/>
        <v>98.580068619712833</v>
      </c>
    </row>
    <row r="494" spans="1:13" ht="57.75" customHeight="1">
      <c r="A494" s="22" t="s">
        <v>398</v>
      </c>
      <c r="B494" s="2">
        <v>637</v>
      </c>
      <c r="C494" s="24" t="s">
        <v>187</v>
      </c>
      <c r="D494" s="24" t="s">
        <v>20</v>
      </c>
      <c r="E494" s="24" t="s">
        <v>399</v>
      </c>
      <c r="F494" s="24" t="s">
        <v>18</v>
      </c>
      <c r="G494" s="20"/>
      <c r="H494" s="20"/>
      <c r="I494" s="20"/>
      <c r="J494" s="20"/>
      <c r="K494" s="20">
        <f>K495+K496</f>
        <v>3829.66</v>
      </c>
      <c r="L494" s="69">
        <f>SUM(L495:L496)</f>
        <v>3763.22</v>
      </c>
      <c r="M494" s="21">
        <f t="shared" si="68"/>
        <v>98.265120141213586</v>
      </c>
    </row>
    <row r="495" spans="1:13" ht="38.25" customHeight="1">
      <c r="A495" s="22" t="s">
        <v>400</v>
      </c>
      <c r="B495" s="2">
        <v>637</v>
      </c>
      <c r="C495" s="32" t="s">
        <v>187</v>
      </c>
      <c r="D495" s="24" t="s">
        <v>20</v>
      </c>
      <c r="E495" s="24" t="s">
        <v>399</v>
      </c>
      <c r="F495" s="24" t="s">
        <v>401</v>
      </c>
      <c r="G495" s="20"/>
      <c r="H495" s="20"/>
      <c r="I495" s="20"/>
      <c r="J495" s="20"/>
      <c r="K495" s="20">
        <v>3793.37</v>
      </c>
      <c r="L495" s="69">
        <v>3726.93</v>
      </c>
      <c r="M495" s="21">
        <f t="shared" si="68"/>
        <v>98.248523081059844</v>
      </c>
    </row>
    <row r="496" spans="1:13" ht="20.25" customHeight="1">
      <c r="A496" s="22" t="s">
        <v>33</v>
      </c>
      <c r="B496" s="2">
        <v>637</v>
      </c>
      <c r="C496" s="32" t="s">
        <v>187</v>
      </c>
      <c r="D496" s="24" t="s">
        <v>20</v>
      </c>
      <c r="E496" s="24" t="s">
        <v>399</v>
      </c>
      <c r="F496" s="24" t="s">
        <v>34</v>
      </c>
      <c r="G496" s="20"/>
      <c r="H496" s="20"/>
      <c r="I496" s="20"/>
      <c r="J496" s="20"/>
      <c r="K496" s="20">
        <v>36.29</v>
      </c>
      <c r="L496" s="69">
        <v>36.29</v>
      </c>
      <c r="M496" s="21">
        <f t="shared" si="68"/>
        <v>100</v>
      </c>
    </row>
    <row r="497" spans="1:13" ht="91.5" customHeight="1">
      <c r="A497" s="22" t="s">
        <v>402</v>
      </c>
      <c r="B497" s="2">
        <v>637</v>
      </c>
      <c r="C497" s="24" t="s">
        <v>187</v>
      </c>
      <c r="D497" s="24" t="s">
        <v>20</v>
      </c>
      <c r="E497" s="24" t="s">
        <v>403</v>
      </c>
      <c r="F497" s="24" t="s">
        <v>18</v>
      </c>
      <c r="G497" s="20"/>
      <c r="H497" s="20"/>
      <c r="I497" s="20"/>
      <c r="J497" s="20"/>
      <c r="K497" s="20">
        <f>K498</f>
        <v>98522.29</v>
      </c>
      <c r="L497" s="69">
        <f>SUM(L498)</f>
        <v>98345.23</v>
      </c>
      <c r="M497" s="21">
        <f t="shared" si="68"/>
        <v>99.820284323476443</v>
      </c>
    </row>
    <row r="498" spans="1:13" ht="38.25" customHeight="1">
      <c r="A498" s="22" t="s">
        <v>400</v>
      </c>
      <c r="B498" s="2">
        <v>637</v>
      </c>
      <c r="C498" s="24" t="s">
        <v>187</v>
      </c>
      <c r="D498" s="24" t="s">
        <v>20</v>
      </c>
      <c r="E498" s="24" t="s">
        <v>403</v>
      </c>
      <c r="F498" s="24" t="s">
        <v>401</v>
      </c>
      <c r="G498" s="20"/>
      <c r="H498" s="20"/>
      <c r="I498" s="20"/>
      <c r="J498" s="20"/>
      <c r="K498" s="20">
        <v>98522.29</v>
      </c>
      <c r="L498" s="69">
        <v>98345.23</v>
      </c>
      <c r="M498" s="21">
        <f t="shared" si="68"/>
        <v>99.820284323476443</v>
      </c>
    </row>
    <row r="499" spans="1:13" ht="60.75" customHeight="1">
      <c r="A499" s="22" t="s">
        <v>404</v>
      </c>
      <c r="B499" s="2">
        <v>637</v>
      </c>
      <c r="C499" s="24" t="s">
        <v>187</v>
      </c>
      <c r="D499" s="24" t="s">
        <v>20</v>
      </c>
      <c r="E499" s="24" t="s">
        <v>405</v>
      </c>
      <c r="F499" s="24" t="s">
        <v>18</v>
      </c>
      <c r="G499" s="20"/>
      <c r="H499" s="20"/>
      <c r="I499" s="20"/>
      <c r="J499" s="20"/>
      <c r="K499" s="20">
        <f>K500</f>
        <v>89161.53</v>
      </c>
      <c r="L499" s="69">
        <f>SUM(L500)</f>
        <v>86685.67</v>
      </c>
      <c r="M499" s="21">
        <f t="shared" si="68"/>
        <v>97.223174613535676</v>
      </c>
    </row>
    <row r="500" spans="1:13" ht="37.5" customHeight="1">
      <c r="A500" s="22" t="s">
        <v>400</v>
      </c>
      <c r="B500" s="2">
        <v>637</v>
      </c>
      <c r="C500" s="24" t="s">
        <v>187</v>
      </c>
      <c r="D500" s="24" t="s">
        <v>20</v>
      </c>
      <c r="E500" s="24" t="s">
        <v>405</v>
      </c>
      <c r="F500" s="24" t="s">
        <v>401</v>
      </c>
      <c r="G500" s="20"/>
      <c r="H500" s="20"/>
      <c r="I500" s="20"/>
      <c r="J500" s="20"/>
      <c r="K500" s="20">
        <v>89161.53</v>
      </c>
      <c r="L500" s="69">
        <v>86685.67</v>
      </c>
      <c r="M500" s="21">
        <f t="shared" si="68"/>
        <v>97.223174613535676</v>
      </c>
    </row>
    <row r="501" spans="1:13">
      <c r="A501" s="22" t="s">
        <v>188</v>
      </c>
      <c r="B501" s="2">
        <v>637</v>
      </c>
      <c r="C501" s="24" t="s">
        <v>187</v>
      </c>
      <c r="D501" s="24" t="s">
        <v>46</v>
      </c>
      <c r="E501" s="24" t="s">
        <v>18</v>
      </c>
      <c r="F501" s="24" t="s">
        <v>18</v>
      </c>
      <c r="G501" s="20"/>
      <c r="H501" s="20"/>
      <c r="I501" s="20"/>
      <c r="J501" s="20"/>
      <c r="K501" s="20">
        <f>K502</f>
        <v>1798.51</v>
      </c>
      <c r="L501" s="69">
        <f>SUM(L502)</f>
        <v>1798.51</v>
      </c>
      <c r="M501" s="21">
        <f t="shared" ref="M501:M560" si="69">SUM(L501/K501*100)</f>
        <v>100</v>
      </c>
    </row>
    <row r="502" spans="1:13" ht="37.5">
      <c r="A502" s="30" t="s">
        <v>202</v>
      </c>
      <c r="B502" s="2">
        <v>637</v>
      </c>
      <c r="C502" s="24" t="s">
        <v>187</v>
      </c>
      <c r="D502" s="24" t="s">
        <v>46</v>
      </c>
      <c r="E502" s="24" t="s">
        <v>203</v>
      </c>
      <c r="F502" s="24" t="s">
        <v>18</v>
      </c>
      <c r="G502" s="20"/>
      <c r="H502" s="20"/>
      <c r="I502" s="20"/>
      <c r="J502" s="20"/>
      <c r="K502" s="20">
        <f>K503</f>
        <v>1798.51</v>
      </c>
      <c r="L502" s="69">
        <f>SUM(L503)</f>
        <v>1798.51</v>
      </c>
      <c r="M502" s="21">
        <f t="shared" si="69"/>
        <v>100</v>
      </c>
    </row>
    <row r="503" spans="1:13" ht="37.5">
      <c r="A503" s="22" t="s">
        <v>204</v>
      </c>
      <c r="B503" s="2">
        <v>637</v>
      </c>
      <c r="C503" s="24" t="s">
        <v>187</v>
      </c>
      <c r="D503" s="24" t="s">
        <v>46</v>
      </c>
      <c r="E503" s="24" t="s">
        <v>205</v>
      </c>
      <c r="F503" s="24" t="s">
        <v>18</v>
      </c>
      <c r="G503" s="20"/>
      <c r="H503" s="20"/>
      <c r="I503" s="20"/>
      <c r="J503" s="20"/>
      <c r="K503" s="20">
        <f>K504</f>
        <v>1798.51</v>
      </c>
      <c r="L503" s="69">
        <f>SUM(L504)</f>
        <v>1798.51</v>
      </c>
      <c r="M503" s="21">
        <f t="shared" si="69"/>
        <v>100</v>
      </c>
    </row>
    <row r="504" spans="1:13">
      <c r="A504" s="22" t="s">
        <v>208</v>
      </c>
      <c r="B504" s="2">
        <v>637</v>
      </c>
      <c r="C504" s="32" t="s">
        <v>187</v>
      </c>
      <c r="D504" s="24" t="s">
        <v>46</v>
      </c>
      <c r="E504" s="24" t="s">
        <v>209</v>
      </c>
      <c r="F504" s="24" t="s">
        <v>18</v>
      </c>
      <c r="G504" s="20"/>
      <c r="H504" s="20"/>
      <c r="I504" s="20"/>
      <c r="J504" s="20"/>
      <c r="K504" s="20">
        <f>K505</f>
        <v>1798.51</v>
      </c>
      <c r="L504" s="69">
        <f>SUM(L505)</f>
        <v>1798.51</v>
      </c>
      <c r="M504" s="21">
        <f t="shared" si="69"/>
        <v>100</v>
      </c>
    </row>
    <row r="505" spans="1:13" ht="37.5">
      <c r="A505" s="22" t="s">
        <v>102</v>
      </c>
      <c r="B505" s="2">
        <v>637</v>
      </c>
      <c r="C505" s="32" t="s">
        <v>187</v>
      </c>
      <c r="D505" s="24" t="s">
        <v>46</v>
      </c>
      <c r="E505" s="24" t="s">
        <v>209</v>
      </c>
      <c r="F505" s="24" t="s">
        <v>32</v>
      </c>
      <c r="G505" s="20"/>
      <c r="H505" s="20"/>
      <c r="I505" s="20"/>
      <c r="J505" s="20"/>
      <c r="K505" s="20">
        <v>1798.51</v>
      </c>
      <c r="L505" s="69">
        <v>1798.51</v>
      </c>
      <c r="M505" s="21">
        <f t="shared" si="69"/>
        <v>100</v>
      </c>
    </row>
    <row r="506" spans="1:13">
      <c r="A506" s="22"/>
      <c r="C506" s="24"/>
      <c r="D506" s="24"/>
      <c r="E506" s="24"/>
      <c r="F506" s="24"/>
      <c r="G506" s="20"/>
      <c r="H506" s="20"/>
      <c r="I506" s="20"/>
      <c r="J506" s="20"/>
      <c r="K506" s="20"/>
      <c r="M506" s="21"/>
    </row>
    <row r="507" spans="1:13" ht="37.5">
      <c r="A507" s="1" t="s">
        <v>406</v>
      </c>
      <c r="B507" s="23">
        <v>645</v>
      </c>
      <c r="C507" s="24" t="s">
        <v>18</v>
      </c>
      <c r="D507" s="24" t="s">
        <v>18</v>
      </c>
      <c r="E507" s="24" t="s">
        <v>18</v>
      </c>
      <c r="F507" s="24" t="s">
        <v>18</v>
      </c>
      <c r="G507" s="19"/>
      <c r="H507" s="19"/>
      <c r="I507" s="19"/>
      <c r="J507" s="19"/>
      <c r="K507" s="20">
        <f>K508+K520+K546</f>
        <v>48603.41</v>
      </c>
      <c r="L507" s="69">
        <f>SUM(L508+L520+L546)</f>
        <v>48268.19</v>
      </c>
      <c r="M507" s="21">
        <f t="shared" si="69"/>
        <v>99.310295306440437</v>
      </c>
    </row>
    <row r="508" spans="1:13">
      <c r="A508" s="22" t="s">
        <v>186</v>
      </c>
      <c r="B508" s="23">
        <v>645</v>
      </c>
      <c r="C508" s="24" t="s">
        <v>187</v>
      </c>
      <c r="D508" s="24" t="s">
        <v>18</v>
      </c>
      <c r="E508" s="24" t="s">
        <v>18</v>
      </c>
      <c r="F508" s="24" t="s">
        <v>18</v>
      </c>
      <c r="G508" s="20"/>
      <c r="H508" s="20"/>
      <c r="I508" s="20"/>
      <c r="J508" s="20"/>
      <c r="K508" s="20">
        <f t="shared" ref="K508:L510" si="70">K509</f>
        <v>15738.95</v>
      </c>
      <c r="L508" s="20">
        <f t="shared" si="70"/>
        <v>15738.95</v>
      </c>
      <c r="M508" s="21">
        <f t="shared" si="69"/>
        <v>100</v>
      </c>
    </row>
    <row r="509" spans="1:13">
      <c r="A509" s="22" t="s">
        <v>188</v>
      </c>
      <c r="B509" s="23">
        <v>645</v>
      </c>
      <c r="C509" s="24" t="s">
        <v>187</v>
      </c>
      <c r="D509" s="24" t="s">
        <v>46</v>
      </c>
      <c r="E509" s="24" t="s">
        <v>18</v>
      </c>
      <c r="F509" s="24" t="s">
        <v>18</v>
      </c>
      <c r="G509" s="20"/>
      <c r="H509" s="20"/>
      <c r="I509" s="20"/>
      <c r="J509" s="20"/>
      <c r="K509" s="20">
        <f t="shared" si="70"/>
        <v>15738.95</v>
      </c>
      <c r="L509" s="20">
        <f t="shared" si="70"/>
        <v>15738.95</v>
      </c>
      <c r="M509" s="21">
        <f t="shared" si="69"/>
        <v>100</v>
      </c>
    </row>
    <row r="510" spans="1:13" ht="37.5">
      <c r="A510" s="30" t="s">
        <v>202</v>
      </c>
      <c r="B510" s="23">
        <v>645</v>
      </c>
      <c r="C510" s="24" t="s">
        <v>187</v>
      </c>
      <c r="D510" s="32" t="s">
        <v>46</v>
      </c>
      <c r="E510" s="24" t="s">
        <v>203</v>
      </c>
      <c r="F510" s="24" t="s">
        <v>18</v>
      </c>
      <c r="G510" s="20"/>
      <c r="H510" s="20"/>
      <c r="I510" s="20"/>
      <c r="J510" s="20"/>
      <c r="K510" s="20">
        <f t="shared" si="70"/>
        <v>15738.95</v>
      </c>
      <c r="L510" s="20">
        <f t="shared" si="70"/>
        <v>15738.95</v>
      </c>
      <c r="M510" s="21">
        <f t="shared" si="69"/>
        <v>100</v>
      </c>
    </row>
    <row r="511" spans="1:13" ht="37.5">
      <c r="A511" s="22" t="s">
        <v>407</v>
      </c>
      <c r="B511" s="23">
        <v>645</v>
      </c>
      <c r="C511" s="24" t="s">
        <v>187</v>
      </c>
      <c r="D511" s="32" t="s">
        <v>46</v>
      </c>
      <c r="E511" s="24" t="s">
        <v>408</v>
      </c>
      <c r="F511" s="24" t="s">
        <v>18</v>
      </c>
      <c r="G511" s="20"/>
      <c r="H511" s="20"/>
      <c r="I511" s="20"/>
      <c r="J511" s="20"/>
      <c r="K511" s="20">
        <f>K512+K514+K516+K518</f>
        <v>15738.95</v>
      </c>
      <c r="L511" s="20">
        <f>L512+L514+L516+L518</f>
        <v>15738.95</v>
      </c>
      <c r="M511" s="21">
        <f t="shared" si="69"/>
        <v>100</v>
      </c>
    </row>
    <row r="512" spans="1:13" ht="37.5">
      <c r="A512" s="22" t="s">
        <v>409</v>
      </c>
      <c r="B512" s="23">
        <v>645</v>
      </c>
      <c r="C512" s="24" t="s">
        <v>187</v>
      </c>
      <c r="D512" s="32" t="s">
        <v>46</v>
      </c>
      <c r="E512" s="24" t="s">
        <v>410</v>
      </c>
      <c r="F512" s="24" t="s">
        <v>18</v>
      </c>
      <c r="G512" s="20"/>
      <c r="H512" s="20"/>
      <c r="I512" s="20"/>
      <c r="J512" s="20"/>
      <c r="K512" s="20">
        <f>K513</f>
        <v>12490.67</v>
      </c>
      <c r="L512" s="69">
        <f>SUM(L513)</f>
        <v>12490.67</v>
      </c>
      <c r="M512" s="21">
        <f t="shared" si="69"/>
        <v>100</v>
      </c>
    </row>
    <row r="513" spans="1:13" ht="37.5">
      <c r="A513" s="22" t="s">
        <v>105</v>
      </c>
      <c r="B513" s="23">
        <v>645</v>
      </c>
      <c r="C513" s="24" t="s">
        <v>187</v>
      </c>
      <c r="D513" s="32" t="s">
        <v>46</v>
      </c>
      <c r="E513" s="24" t="s">
        <v>410</v>
      </c>
      <c r="F513" s="24" t="s">
        <v>106</v>
      </c>
      <c r="G513" s="20"/>
      <c r="H513" s="20"/>
      <c r="I513" s="20"/>
      <c r="J513" s="20"/>
      <c r="K513" s="20">
        <v>12490.67</v>
      </c>
      <c r="L513" s="69">
        <v>12490.67</v>
      </c>
      <c r="M513" s="21">
        <f t="shared" si="69"/>
        <v>100</v>
      </c>
    </row>
    <row r="514" spans="1:13" ht="37.5">
      <c r="A514" s="22" t="s">
        <v>411</v>
      </c>
      <c r="B514" s="23">
        <v>645</v>
      </c>
      <c r="C514" s="24" t="s">
        <v>187</v>
      </c>
      <c r="D514" s="32" t="s">
        <v>46</v>
      </c>
      <c r="E514" s="24" t="s">
        <v>412</v>
      </c>
      <c r="F514" s="24" t="s">
        <v>18</v>
      </c>
      <c r="G514" s="20"/>
      <c r="H514" s="20"/>
      <c r="I514" s="20"/>
      <c r="J514" s="20"/>
      <c r="K514" s="20">
        <f>K515</f>
        <v>500</v>
      </c>
      <c r="L514" s="69">
        <f>L515</f>
        <v>500</v>
      </c>
      <c r="M514" s="21">
        <f t="shared" si="69"/>
        <v>100</v>
      </c>
    </row>
    <row r="515" spans="1:13" ht="37.5">
      <c r="A515" s="22" t="s">
        <v>105</v>
      </c>
      <c r="B515" s="23">
        <v>645</v>
      </c>
      <c r="C515" s="24" t="s">
        <v>187</v>
      </c>
      <c r="D515" s="32" t="s">
        <v>46</v>
      </c>
      <c r="E515" s="24" t="s">
        <v>412</v>
      </c>
      <c r="F515" s="24" t="s">
        <v>106</v>
      </c>
      <c r="G515" s="20"/>
      <c r="H515" s="20"/>
      <c r="I515" s="20"/>
      <c r="J515" s="20"/>
      <c r="K515" s="20">
        <v>500</v>
      </c>
      <c r="L515" s="69">
        <v>500</v>
      </c>
      <c r="M515" s="21">
        <f t="shared" si="69"/>
        <v>100</v>
      </c>
    </row>
    <row r="516" spans="1:13" ht="37.5">
      <c r="A516" s="55" t="s">
        <v>477</v>
      </c>
      <c r="B516" s="23">
        <v>645</v>
      </c>
      <c r="C516" s="24" t="s">
        <v>187</v>
      </c>
      <c r="D516" s="32" t="s">
        <v>46</v>
      </c>
      <c r="E516" s="24" t="s">
        <v>475</v>
      </c>
      <c r="F516" s="24" t="s">
        <v>18</v>
      </c>
      <c r="G516" s="20"/>
      <c r="H516" s="20"/>
      <c r="I516" s="20"/>
      <c r="J516" s="20"/>
      <c r="K516" s="20">
        <f>K517</f>
        <v>164.48</v>
      </c>
      <c r="L516" s="69">
        <f>L517</f>
        <v>164.48</v>
      </c>
      <c r="M516" s="21">
        <f t="shared" si="69"/>
        <v>100</v>
      </c>
    </row>
    <row r="517" spans="1:13" ht="37.5">
      <c r="A517" s="55" t="s">
        <v>105</v>
      </c>
      <c r="B517" s="23">
        <v>645</v>
      </c>
      <c r="C517" s="24" t="s">
        <v>187</v>
      </c>
      <c r="D517" s="32" t="s">
        <v>46</v>
      </c>
      <c r="E517" s="24" t="s">
        <v>475</v>
      </c>
      <c r="F517" s="24" t="s">
        <v>106</v>
      </c>
      <c r="G517" s="20"/>
      <c r="H517" s="20"/>
      <c r="I517" s="20"/>
      <c r="J517" s="20"/>
      <c r="K517" s="20">
        <v>164.48</v>
      </c>
      <c r="L517" s="69">
        <v>164.48</v>
      </c>
      <c r="M517" s="21">
        <f t="shared" si="69"/>
        <v>100</v>
      </c>
    </row>
    <row r="518" spans="1:13" ht="56.25">
      <c r="A518" s="55" t="s">
        <v>466</v>
      </c>
      <c r="B518" s="23">
        <v>645</v>
      </c>
      <c r="C518" s="24" t="s">
        <v>187</v>
      </c>
      <c r="D518" s="32" t="s">
        <v>46</v>
      </c>
      <c r="E518" s="24" t="s">
        <v>476</v>
      </c>
      <c r="F518" s="24" t="s">
        <v>18</v>
      </c>
      <c r="G518" s="20"/>
      <c r="H518" s="20"/>
      <c r="I518" s="20"/>
      <c r="J518" s="20"/>
      <c r="K518" s="20">
        <f>K519</f>
        <v>2583.8000000000002</v>
      </c>
      <c r="L518" s="69">
        <f>L519</f>
        <v>2583.8000000000002</v>
      </c>
      <c r="M518" s="21">
        <f t="shared" si="69"/>
        <v>100</v>
      </c>
    </row>
    <row r="519" spans="1:13" ht="37.5">
      <c r="A519" s="55" t="s">
        <v>105</v>
      </c>
      <c r="B519" s="23">
        <v>645</v>
      </c>
      <c r="C519" s="24" t="s">
        <v>187</v>
      </c>
      <c r="D519" s="32" t="s">
        <v>46</v>
      </c>
      <c r="E519" s="24" t="s">
        <v>476</v>
      </c>
      <c r="F519" s="24" t="s">
        <v>106</v>
      </c>
      <c r="G519" s="20"/>
      <c r="H519" s="20"/>
      <c r="I519" s="20"/>
      <c r="J519" s="20"/>
      <c r="K519" s="20">
        <v>2583.8000000000002</v>
      </c>
      <c r="L519" s="69">
        <v>2583.8000000000002</v>
      </c>
      <c r="M519" s="21">
        <f t="shared" si="69"/>
        <v>100</v>
      </c>
    </row>
    <row r="520" spans="1:13">
      <c r="A520" s="22" t="s">
        <v>413</v>
      </c>
      <c r="B520" s="23">
        <v>645</v>
      </c>
      <c r="C520" s="24" t="s">
        <v>122</v>
      </c>
      <c r="D520" s="24" t="s">
        <v>18</v>
      </c>
      <c r="E520" s="24" t="s">
        <v>18</v>
      </c>
      <c r="F520" s="24" t="s">
        <v>18</v>
      </c>
      <c r="G520" s="20"/>
      <c r="H520" s="20"/>
      <c r="I520" s="20"/>
      <c r="J520" s="20"/>
      <c r="K520" s="20">
        <f>K521+K536</f>
        <v>29354.46</v>
      </c>
      <c r="L520" s="69">
        <f>SUM(L521+L536)</f>
        <v>29019.24</v>
      </c>
      <c r="M520" s="21">
        <f t="shared" si="69"/>
        <v>98.858027025535478</v>
      </c>
    </row>
    <row r="521" spans="1:13">
      <c r="A521" s="22" t="s">
        <v>414</v>
      </c>
      <c r="B521" s="23">
        <v>645</v>
      </c>
      <c r="C521" s="24" t="s">
        <v>122</v>
      </c>
      <c r="D521" s="24" t="s">
        <v>20</v>
      </c>
      <c r="E521" s="24" t="s">
        <v>18</v>
      </c>
      <c r="F521" s="24" t="s">
        <v>18</v>
      </c>
      <c r="G521" s="20"/>
      <c r="H521" s="20"/>
      <c r="I521" s="20"/>
      <c r="J521" s="20"/>
      <c r="K521" s="20">
        <f>K522</f>
        <v>24692.95</v>
      </c>
      <c r="L521" s="69">
        <f>SUM(L522)</f>
        <v>24692.95</v>
      </c>
      <c r="M521" s="21">
        <f t="shared" si="69"/>
        <v>100</v>
      </c>
    </row>
    <row r="522" spans="1:13" ht="37.5">
      <c r="A522" s="22" t="s">
        <v>415</v>
      </c>
      <c r="B522" s="23">
        <v>645</v>
      </c>
      <c r="C522" s="32" t="s">
        <v>122</v>
      </c>
      <c r="D522" s="32" t="s">
        <v>20</v>
      </c>
      <c r="E522" s="24" t="s">
        <v>416</v>
      </c>
      <c r="F522" s="24"/>
      <c r="G522" s="20"/>
      <c r="H522" s="20"/>
      <c r="I522" s="20"/>
      <c r="J522" s="20"/>
      <c r="K522" s="20">
        <f>K523</f>
        <v>24692.95</v>
      </c>
      <c r="L522" s="69">
        <f>SUM(L523)</f>
        <v>24692.95</v>
      </c>
      <c r="M522" s="21">
        <f t="shared" si="69"/>
        <v>100</v>
      </c>
    </row>
    <row r="523" spans="1:13">
      <c r="A523" s="22" t="s">
        <v>417</v>
      </c>
      <c r="B523" s="23">
        <v>645</v>
      </c>
      <c r="C523" s="32" t="s">
        <v>122</v>
      </c>
      <c r="D523" s="32" t="s">
        <v>20</v>
      </c>
      <c r="E523" s="24" t="s">
        <v>418</v>
      </c>
      <c r="F523" s="24" t="s">
        <v>18</v>
      </c>
      <c r="G523" s="20"/>
      <c r="H523" s="20"/>
      <c r="I523" s="20"/>
      <c r="J523" s="20"/>
      <c r="K523" s="20">
        <f>K524+K526+K528+K530+K532+K534</f>
        <v>24692.95</v>
      </c>
      <c r="L523" s="69">
        <f>SUM(L524+L526+L528+L530+L532+L534)</f>
        <v>24692.95</v>
      </c>
      <c r="M523" s="21">
        <f t="shared" si="69"/>
        <v>100</v>
      </c>
    </row>
    <row r="524" spans="1:13">
      <c r="A524" s="22" t="s">
        <v>419</v>
      </c>
      <c r="B524" s="23">
        <v>645</v>
      </c>
      <c r="C524" s="32" t="s">
        <v>122</v>
      </c>
      <c r="D524" s="32" t="s">
        <v>20</v>
      </c>
      <c r="E524" s="24" t="s">
        <v>420</v>
      </c>
      <c r="F524" s="24" t="s">
        <v>18</v>
      </c>
      <c r="G524" s="20"/>
      <c r="H524" s="20"/>
      <c r="I524" s="20"/>
      <c r="J524" s="20"/>
      <c r="K524" s="20">
        <f>K525</f>
        <v>14340.33</v>
      </c>
      <c r="L524" s="69">
        <f>SUM(L525)</f>
        <v>14340.33</v>
      </c>
      <c r="M524" s="21">
        <f t="shared" si="69"/>
        <v>100</v>
      </c>
    </row>
    <row r="525" spans="1:13" ht="37.5">
      <c r="A525" s="22" t="s">
        <v>105</v>
      </c>
      <c r="B525" s="23">
        <v>645</v>
      </c>
      <c r="C525" s="32" t="s">
        <v>122</v>
      </c>
      <c r="D525" s="32" t="s">
        <v>20</v>
      </c>
      <c r="E525" s="24" t="s">
        <v>420</v>
      </c>
      <c r="F525" s="24" t="s">
        <v>106</v>
      </c>
      <c r="G525" s="20"/>
      <c r="H525" s="20"/>
      <c r="I525" s="20"/>
      <c r="J525" s="20"/>
      <c r="K525" s="20">
        <v>14340.33</v>
      </c>
      <c r="L525" s="69">
        <v>14340.33</v>
      </c>
      <c r="M525" s="21">
        <f t="shared" si="69"/>
        <v>100</v>
      </c>
    </row>
    <row r="526" spans="1:13">
      <c r="A526" s="22" t="s">
        <v>421</v>
      </c>
      <c r="B526" s="23">
        <v>645</v>
      </c>
      <c r="C526" s="32" t="s">
        <v>122</v>
      </c>
      <c r="D526" s="32" t="s">
        <v>20</v>
      </c>
      <c r="E526" s="24" t="s">
        <v>422</v>
      </c>
      <c r="F526" s="24" t="s">
        <v>18</v>
      </c>
      <c r="G526" s="20"/>
      <c r="H526" s="20"/>
      <c r="I526" s="20"/>
      <c r="J526" s="20"/>
      <c r="K526" s="20">
        <f>K527</f>
        <v>9878.4699999999993</v>
      </c>
      <c r="L526" s="69">
        <f>SUM(L527)</f>
        <v>9878.4699999999993</v>
      </c>
      <c r="M526" s="21">
        <f t="shared" si="69"/>
        <v>100</v>
      </c>
    </row>
    <row r="527" spans="1:13" ht="37.5">
      <c r="A527" s="22" t="s">
        <v>105</v>
      </c>
      <c r="B527" s="23">
        <v>645</v>
      </c>
      <c r="C527" s="32" t="s">
        <v>122</v>
      </c>
      <c r="D527" s="32" t="s">
        <v>20</v>
      </c>
      <c r="E527" s="24" t="s">
        <v>422</v>
      </c>
      <c r="F527" s="24" t="s">
        <v>106</v>
      </c>
      <c r="G527" s="20"/>
      <c r="H527" s="20"/>
      <c r="I527" s="20"/>
      <c r="J527" s="20"/>
      <c r="K527" s="20">
        <v>9878.4699999999993</v>
      </c>
      <c r="L527" s="69">
        <v>9878.4699999999993</v>
      </c>
      <c r="M527" s="21">
        <f t="shared" si="69"/>
        <v>100</v>
      </c>
    </row>
    <row r="528" spans="1:13" ht="37.5">
      <c r="A528" s="22" t="s">
        <v>423</v>
      </c>
      <c r="B528" s="23">
        <v>645</v>
      </c>
      <c r="C528" s="32" t="s">
        <v>122</v>
      </c>
      <c r="D528" s="32" t="s">
        <v>20</v>
      </c>
      <c r="E528" s="24" t="s">
        <v>424</v>
      </c>
      <c r="F528" s="24" t="s">
        <v>18</v>
      </c>
      <c r="G528" s="20"/>
      <c r="H528" s="20"/>
      <c r="I528" s="20"/>
      <c r="J528" s="20"/>
      <c r="K528" s="20">
        <f>K529</f>
        <v>172.7</v>
      </c>
      <c r="L528" s="69">
        <f>SUM(L529)</f>
        <v>172.7</v>
      </c>
      <c r="M528" s="21">
        <f t="shared" si="69"/>
        <v>100</v>
      </c>
    </row>
    <row r="529" spans="1:13" ht="37.5">
      <c r="A529" s="22" t="s">
        <v>105</v>
      </c>
      <c r="B529" s="23">
        <v>645</v>
      </c>
      <c r="C529" s="32" t="s">
        <v>122</v>
      </c>
      <c r="D529" s="32" t="s">
        <v>20</v>
      </c>
      <c r="E529" s="24" t="s">
        <v>424</v>
      </c>
      <c r="F529" s="24" t="s">
        <v>106</v>
      </c>
      <c r="G529" s="20"/>
      <c r="H529" s="20"/>
      <c r="I529" s="20"/>
      <c r="J529" s="20"/>
      <c r="K529" s="20">
        <v>172.7</v>
      </c>
      <c r="L529" s="69">
        <v>172.7</v>
      </c>
      <c r="M529" s="21">
        <f t="shared" si="69"/>
        <v>100</v>
      </c>
    </row>
    <row r="530" spans="1:13">
      <c r="A530" s="22" t="s">
        <v>425</v>
      </c>
      <c r="B530" s="23">
        <v>645</v>
      </c>
      <c r="C530" s="32" t="s">
        <v>122</v>
      </c>
      <c r="D530" s="32" t="s">
        <v>20</v>
      </c>
      <c r="E530" s="24" t="s">
        <v>426</v>
      </c>
      <c r="F530" s="24" t="s">
        <v>18</v>
      </c>
      <c r="G530" s="20"/>
      <c r="H530" s="20"/>
      <c r="I530" s="20"/>
      <c r="J530" s="20"/>
      <c r="K530" s="20">
        <f>K531</f>
        <v>52.7</v>
      </c>
      <c r="L530" s="69">
        <f>SUM(L531)</f>
        <v>52.7</v>
      </c>
      <c r="M530" s="21">
        <f t="shared" si="69"/>
        <v>100</v>
      </c>
    </row>
    <row r="531" spans="1:13" ht="37.5">
      <c r="A531" s="22" t="s">
        <v>105</v>
      </c>
      <c r="B531" s="23">
        <v>645</v>
      </c>
      <c r="C531" s="32" t="s">
        <v>122</v>
      </c>
      <c r="D531" s="32" t="s">
        <v>20</v>
      </c>
      <c r="E531" s="24" t="s">
        <v>426</v>
      </c>
      <c r="F531" s="24" t="s">
        <v>106</v>
      </c>
      <c r="G531" s="20"/>
      <c r="H531" s="20"/>
      <c r="I531" s="20"/>
      <c r="J531" s="20"/>
      <c r="K531" s="20">
        <v>52.7</v>
      </c>
      <c r="L531" s="69">
        <v>52.7</v>
      </c>
      <c r="M531" s="21">
        <f t="shared" si="69"/>
        <v>100</v>
      </c>
    </row>
    <row r="532" spans="1:13" ht="37.5">
      <c r="A532" s="22" t="s">
        <v>210</v>
      </c>
      <c r="B532" s="23">
        <v>645</v>
      </c>
      <c r="C532" s="32" t="s">
        <v>122</v>
      </c>
      <c r="D532" s="32" t="s">
        <v>20</v>
      </c>
      <c r="E532" s="24" t="s">
        <v>427</v>
      </c>
      <c r="F532" s="24" t="s">
        <v>18</v>
      </c>
      <c r="G532" s="20"/>
      <c r="H532" s="20"/>
      <c r="I532" s="20"/>
      <c r="J532" s="20"/>
      <c r="K532" s="20">
        <f>K533</f>
        <v>76.05</v>
      </c>
      <c r="L532" s="69">
        <f>SUM(L533)</f>
        <v>76.05</v>
      </c>
      <c r="M532" s="21">
        <f t="shared" si="69"/>
        <v>100</v>
      </c>
    </row>
    <row r="533" spans="1:13" ht="37.5">
      <c r="A533" s="22" t="s">
        <v>105</v>
      </c>
      <c r="B533" s="23">
        <v>645</v>
      </c>
      <c r="C533" s="32" t="s">
        <v>122</v>
      </c>
      <c r="D533" s="32" t="s">
        <v>20</v>
      </c>
      <c r="E533" s="24" t="s">
        <v>427</v>
      </c>
      <c r="F533" s="24" t="s">
        <v>106</v>
      </c>
      <c r="G533" s="20"/>
      <c r="H533" s="20"/>
      <c r="I533" s="20"/>
      <c r="J533" s="20"/>
      <c r="K533" s="20">
        <v>76.05</v>
      </c>
      <c r="L533" s="69">
        <v>76.05</v>
      </c>
      <c r="M533" s="21">
        <f t="shared" si="69"/>
        <v>100</v>
      </c>
    </row>
    <row r="534" spans="1:13" ht="37.5">
      <c r="A534" s="22" t="s">
        <v>428</v>
      </c>
      <c r="B534" s="23">
        <v>645</v>
      </c>
      <c r="C534" s="32" t="s">
        <v>122</v>
      </c>
      <c r="D534" s="32" t="s">
        <v>20</v>
      </c>
      <c r="E534" s="24" t="s">
        <v>429</v>
      </c>
      <c r="F534" s="24" t="s">
        <v>18</v>
      </c>
      <c r="G534" s="20"/>
      <c r="H534" s="20"/>
      <c r="I534" s="20"/>
      <c r="J534" s="20"/>
      <c r="K534" s="20">
        <f>K535</f>
        <v>172.7</v>
      </c>
      <c r="L534" s="69">
        <f>SUM(L535)</f>
        <v>172.7</v>
      </c>
      <c r="M534" s="21">
        <f t="shared" si="69"/>
        <v>100</v>
      </c>
    </row>
    <row r="535" spans="1:13" ht="37.5">
      <c r="A535" s="22" t="s">
        <v>105</v>
      </c>
      <c r="B535" s="23">
        <v>645</v>
      </c>
      <c r="C535" s="32" t="s">
        <v>122</v>
      </c>
      <c r="D535" s="32" t="s">
        <v>20</v>
      </c>
      <c r="E535" s="24" t="s">
        <v>429</v>
      </c>
      <c r="F535" s="24" t="s">
        <v>106</v>
      </c>
      <c r="G535" s="20"/>
      <c r="H535" s="20"/>
      <c r="I535" s="20"/>
      <c r="J535" s="20"/>
      <c r="K535" s="20">
        <v>172.7</v>
      </c>
      <c r="L535" s="69">
        <v>172.7</v>
      </c>
      <c r="M535" s="21">
        <f t="shared" si="69"/>
        <v>100</v>
      </c>
    </row>
    <row r="536" spans="1:13">
      <c r="A536" s="22" t="s">
        <v>430</v>
      </c>
      <c r="B536" s="23">
        <v>645</v>
      </c>
      <c r="C536" s="24" t="s">
        <v>122</v>
      </c>
      <c r="D536" s="24" t="s">
        <v>52</v>
      </c>
      <c r="E536" s="24" t="s">
        <v>18</v>
      </c>
      <c r="F536" s="24" t="s">
        <v>18</v>
      </c>
      <c r="G536" s="20"/>
      <c r="H536" s="20"/>
      <c r="I536" s="20"/>
      <c r="J536" s="20"/>
      <c r="K536" s="20">
        <f>K537</f>
        <v>4661.5099999999993</v>
      </c>
      <c r="L536" s="69">
        <f>L537</f>
        <v>4326.29</v>
      </c>
      <c r="M536" s="21">
        <f t="shared" si="69"/>
        <v>92.808767974325932</v>
      </c>
    </row>
    <row r="537" spans="1:13" ht="37.5">
      <c r="A537" s="22" t="s">
        <v>415</v>
      </c>
      <c r="B537" s="23">
        <v>645</v>
      </c>
      <c r="C537" s="24" t="s">
        <v>122</v>
      </c>
      <c r="D537" s="24" t="s">
        <v>52</v>
      </c>
      <c r="E537" s="24" t="s">
        <v>416</v>
      </c>
      <c r="F537" s="24" t="s">
        <v>18</v>
      </c>
      <c r="G537" s="20"/>
      <c r="H537" s="20"/>
      <c r="I537" s="20"/>
      <c r="J537" s="20"/>
      <c r="K537" s="20">
        <f>K538+K541</f>
        <v>4661.5099999999993</v>
      </c>
      <c r="L537" s="69">
        <f>L538+L541</f>
        <v>4326.29</v>
      </c>
      <c r="M537" s="21">
        <f t="shared" si="69"/>
        <v>92.808767974325932</v>
      </c>
    </row>
    <row r="538" spans="1:13">
      <c r="A538" s="22" t="s">
        <v>417</v>
      </c>
      <c r="B538" s="23">
        <v>645</v>
      </c>
      <c r="C538" s="24" t="s">
        <v>122</v>
      </c>
      <c r="D538" s="24" t="s">
        <v>52</v>
      </c>
      <c r="E538" s="24" t="s">
        <v>418</v>
      </c>
      <c r="F538" s="24"/>
      <c r="G538" s="20"/>
      <c r="H538" s="20"/>
      <c r="I538" s="20"/>
      <c r="J538" s="20"/>
      <c r="K538" s="20">
        <f>K539</f>
        <v>227.3</v>
      </c>
      <c r="L538" s="69">
        <f>SUM(L539)</f>
        <v>227.3</v>
      </c>
      <c r="M538" s="21">
        <f t="shared" si="69"/>
        <v>100</v>
      </c>
    </row>
    <row r="539" spans="1:13">
      <c r="A539" s="22" t="s">
        <v>425</v>
      </c>
      <c r="B539" s="23">
        <v>645</v>
      </c>
      <c r="C539" s="24" t="s">
        <v>122</v>
      </c>
      <c r="D539" s="24" t="s">
        <v>52</v>
      </c>
      <c r="E539" s="24" t="s">
        <v>426</v>
      </c>
      <c r="F539" s="24" t="s">
        <v>18</v>
      </c>
      <c r="G539" s="20"/>
      <c r="H539" s="20"/>
      <c r="I539" s="20"/>
      <c r="J539" s="20"/>
      <c r="K539" s="20">
        <f>K540</f>
        <v>227.3</v>
      </c>
      <c r="L539" s="69">
        <f>SUM(L540)</f>
        <v>227.3</v>
      </c>
      <c r="M539" s="21">
        <f t="shared" si="69"/>
        <v>100</v>
      </c>
    </row>
    <row r="540" spans="1:13" ht="37.5">
      <c r="A540" s="22" t="s">
        <v>102</v>
      </c>
      <c r="B540" s="23">
        <v>645</v>
      </c>
      <c r="C540" s="24" t="s">
        <v>122</v>
      </c>
      <c r="D540" s="24" t="s">
        <v>52</v>
      </c>
      <c r="E540" s="24" t="s">
        <v>426</v>
      </c>
      <c r="F540" s="24" t="s">
        <v>32</v>
      </c>
      <c r="G540" s="20"/>
      <c r="H540" s="20"/>
      <c r="I540" s="20"/>
      <c r="J540" s="20"/>
      <c r="K540" s="20">
        <v>227.3</v>
      </c>
      <c r="L540" s="69">
        <v>227.3</v>
      </c>
      <c r="M540" s="21">
        <f t="shared" si="69"/>
        <v>100</v>
      </c>
    </row>
    <row r="541" spans="1:13" ht="37.5">
      <c r="A541" s="22" t="s">
        <v>242</v>
      </c>
      <c r="B541" s="23">
        <v>645</v>
      </c>
      <c r="C541" s="24" t="s">
        <v>122</v>
      </c>
      <c r="D541" s="24" t="s">
        <v>52</v>
      </c>
      <c r="E541" s="24" t="s">
        <v>431</v>
      </c>
      <c r="F541" s="24" t="s">
        <v>18</v>
      </c>
      <c r="G541" s="20"/>
      <c r="H541" s="20"/>
      <c r="I541" s="20"/>
      <c r="J541" s="20"/>
      <c r="K541" s="20">
        <f>K542</f>
        <v>4434.2099999999991</v>
      </c>
      <c r="L541" s="69">
        <f>SUM(L542)</f>
        <v>4098.99</v>
      </c>
      <c r="M541" s="21">
        <f t="shared" si="69"/>
        <v>92.440141535921867</v>
      </c>
    </row>
    <row r="542" spans="1:13">
      <c r="A542" s="22" t="s">
        <v>27</v>
      </c>
      <c r="B542" s="23">
        <v>645</v>
      </c>
      <c r="C542" s="24" t="s">
        <v>122</v>
      </c>
      <c r="D542" s="24" t="s">
        <v>52</v>
      </c>
      <c r="E542" s="24" t="s">
        <v>432</v>
      </c>
      <c r="F542" s="24" t="s">
        <v>18</v>
      </c>
      <c r="G542" s="20"/>
      <c r="H542" s="20"/>
      <c r="I542" s="20"/>
      <c r="J542" s="20"/>
      <c r="K542" s="20">
        <f>K543+K544+K545</f>
        <v>4434.2099999999991</v>
      </c>
      <c r="L542" s="69">
        <f>SUM(L543:L545)</f>
        <v>4098.99</v>
      </c>
      <c r="M542" s="21">
        <f t="shared" si="69"/>
        <v>92.440141535921867</v>
      </c>
    </row>
    <row r="543" spans="1:13" ht="75">
      <c r="A543" s="22" t="s">
        <v>29</v>
      </c>
      <c r="B543" s="23">
        <v>645</v>
      </c>
      <c r="C543" s="24" t="s">
        <v>122</v>
      </c>
      <c r="D543" s="24" t="s">
        <v>52</v>
      </c>
      <c r="E543" s="24" t="s">
        <v>432</v>
      </c>
      <c r="F543" s="24" t="s">
        <v>30</v>
      </c>
      <c r="G543" s="20"/>
      <c r="H543" s="20"/>
      <c r="I543" s="20"/>
      <c r="J543" s="20"/>
      <c r="K543" s="20">
        <v>3945.72</v>
      </c>
      <c r="L543" s="69">
        <v>3617.58</v>
      </c>
      <c r="M543" s="21">
        <f t="shared" si="69"/>
        <v>91.683647091025207</v>
      </c>
    </row>
    <row r="544" spans="1:13" ht="37.5">
      <c r="A544" s="22" t="s">
        <v>102</v>
      </c>
      <c r="B544" s="23">
        <v>645</v>
      </c>
      <c r="C544" s="24" t="s">
        <v>122</v>
      </c>
      <c r="D544" s="24" t="s">
        <v>52</v>
      </c>
      <c r="E544" s="24" t="s">
        <v>432</v>
      </c>
      <c r="F544" s="24" t="s">
        <v>32</v>
      </c>
      <c r="G544" s="20"/>
      <c r="H544" s="20"/>
      <c r="I544" s="20"/>
      <c r="J544" s="20"/>
      <c r="K544" s="20">
        <v>476.25</v>
      </c>
      <c r="L544" s="69">
        <v>469.39</v>
      </c>
      <c r="M544" s="21">
        <f t="shared" si="69"/>
        <v>98.55958005249343</v>
      </c>
    </row>
    <row r="545" spans="1:13">
      <c r="A545" s="22" t="s">
        <v>33</v>
      </c>
      <c r="B545" s="23">
        <v>645</v>
      </c>
      <c r="C545" s="24" t="s">
        <v>122</v>
      </c>
      <c r="D545" s="24" t="s">
        <v>52</v>
      </c>
      <c r="E545" s="24" t="s">
        <v>432</v>
      </c>
      <c r="F545" s="24" t="s">
        <v>34</v>
      </c>
      <c r="G545" s="20"/>
      <c r="H545" s="20"/>
      <c r="I545" s="20"/>
      <c r="J545" s="20"/>
      <c r="K545" s="20">
        <v>12.24</v>
      </c>
      <c r="L545" s="69">
        <v>12.02</v>
      </c>
      <c r="M545" s="21">
        <f t="shared" si="69"/>
        <v>98.202614379084963</v>
      </c>
    </row>
    <row r="546" spans="1:13">
      <c r="A546" s="22" t="s">
        <v>433</v>
      </c>
      <c r="B546" s="23">
        <v>645</v>
      </c>
      <c r="C546" s="24" t="s">
        <v>68</v>
      </c>
      <c r="D546" s="24" t="s">
        <v>18</v>
      </c>
      <c r="E546" s="24" t="s">
        <v>18</v>
      </c>
      <c r="F546" s="24" t="s">
        <v>18</v>
      </c>
      <c r="G546" s="20"/>
      <c r="H546" s="20"/>
      <c r="I546" s="20"/>
      <c r="J546" s="20"/>
      <c r="K546" s="20">
        <f>K547+K554</f>
        <v>3510</v>
      </c>
      <c r="L546" s="69">
        <f>SUM(L547+L554)</f>
        <v>3510</v>
      </c>
      <c r="M546" s="21">
        <f t="shared" si="69"/>
        <v>100</v>
      </c>
    </row>
    <row r="547" spans="1:13">
      <c r="A547" s="22" t="s">
        <v>434</v>
      </c>
      <c r="B547" s="23">
        <v>645</v>
      </c>
      <c r="C547" s="24" t="s">
        <v>68</v>
      </c>
      <c r="D547" s="24" t="s">
        <v>20</v>
      </c>
      <c r="E547" s="24" t="s">
        <v>18</v>
      </c>
      <c r="F547" s="24" t="s">
        <v>18</v>
      </c>
      <c r="G547" s="20"/>
      <c r="H547" s="20"/>
      <c r="I547" s="20"/>
      <c r="J547" s="20"/>
      <c r="K547" s="20">
        <f>K548</f>
        <v>2280</v>
      </c>
      <c r="L547" s="69">
        <f>SUM(L548)</f>
        <v>2280</v>
      </c>
      <c r="M547" s="21">
        <f t="shared" si="69"/>
        <v>100</v>
      </c>
    </row>
    <row r="548" spans="1:13" ht="37.5">
      <c r="A548" s="22" t="s">
        <v>415</v>
      </c>
      <c r="B548" s="23">
        <v>645</v>
      </c>
      <c r="C548" s="24" t="s">
        <v>68</v>
      </c>
      <c r="D548" s="24" t="s">
        <v>20</v>
      </c>
      <c r="E548" s="24" t="s">
        <v>416</v>
      </c>
      <c r="F548" s="24" t="s">
        <v>18</v>
      </c>
      <c r="G548" s="20"/>
      <c r="H548" s="20"/>
      <c r="I548" s="20"/>
      <c r="J548" s="20"/>
      <c r="K548" s="20">
        <f>K549</f>
        <v>2280</v>
      </c>
      <c r="L548" s="69">
        <f>SUM(L549)</f>
        <v>2280</v>
      </c>
      <c r="M548" s="21">
        <f t="shared" si="69"/>
        <v>100</v>
      </c>
    </row>
    <row r="549" spans="1:13">
      <c r="A549" s="22" t="s">
        <v>435</v>
      </c>
      <c r="B549" s="23">
        <v>645</v>
      </c>
      <c r="C549" s="24" t="s">
        <v>68</v>
      </c>
      <c r="D549" s="24" t="s">
        <v>20</v>
      </c>
      <c r="E549" s="24" t="s">
        <v>436</v>
      </c>
      <c r="F549" s="24" t="s">
        <v>18</v>
      </c>
      <c r="G549" s="20"/>
      <c r="H549" s="20"/>
      <c r="I549" s="20"/>
      <c r="J549" s="20"/>
      <c r="K549" s="20">
        <f>K550+K552</f>
        <v>2280</v>
      </c>
      <c r="L549" s="69">
        <f>SUM(L550+L552)</f>
        <v>2280</v>
      </c>
      <c r="M549" s="21">
        <f t="shared" si="69"/>
        <v>100</v>
      </c>
    </row>
    <row r="550" spans="1:13" ht="19.5" customHeight="1">
      <c r="A550" s="22" t="s">
        <v>419</v>
      </c>
      <c r="B550" s="23">
        <v>645</v>
      </c>
      <c r="C550" s="24" t="s">
        <v>68</v>
      </c>
      <c r="D550" s="24" t="s">
        <v>20</v>
      </c>
      <c r="E550" s="24" t="s">
        <v>437</v>
      </c>
      <c r="F550" s="24" t="s">
        <v>18</v>
      </c>
      <c r="G550" s="20"/>
      <c r="H550" s="20"/>
      <c r="I550" s="20"/>
      <c r="J550" s="20"/>
      <c r="K550" s="20">
        <f>K551</f>
        <v>1880</v>
      </c>
      <c r="L550" s="69">
        <f>SUM(L551)</f>
        <v>1880</v>
      </c>
      <c r="M550" s="21">
        <f t="shared" si="69"/>
        <v>100</v>
      </c>
    </row>
    <row r="551" spans="1:13" ht="37.5">
      <c r="A551" s="22" t="s">
        <v>105</v>
      </c>
      <c r="B551" s="23">
        <v>645</v>
      </c>
      <c r="C551" s="24" t="s">
        <v>68</v>
      </c>
      <c r="D551" s="24" t="s">
        <v>20</v>
      </c>
      <c r="E551" s="24" t="s">
        <v>437</v>
      </c>
      <c r="F551" s="24" t="s">
        <v>106</v>
      </c>
      <c r="G551" s="20"/>
      <c r="H551" s="20"/>
      <c r="I551" s="20"/>
      <c r="J551" s="20"/>
      <c r="K551" s="20">
        <v>1880</v>
      </c>
      <c r="L551" s="69">
        <v>1880</v>
      </c>
      <c r="M551" s="21">
        <f t="shared" si="69"/>
        <v>100</v>
      </c>
    </row>
    <row r="552" spans="1:13" ht="56.25">
      <c r="A552" s="22" t="s">
        <v>438</v>
      </c>
      <c r="B552" s="23">
        <v>645</v>
      </c>
      <c r="C552" s="24" t="s">
        <v>68</v>
      </c>
      <c r="D552" s="24" t="s">
        <v>20</v>
      </c>
      <c r="E552" s="24" t="s">
        <v>439</v>
      </c>
      <c r="F552" s="24" t="s">
        <v>18</v>
      </c>
      <c r="G552" s="20"/>
      <c r="H552" s="20"/>
      <c r="I552" s="20"/>
      <c r="J552" s="20"/>
      <c r="K552" s="20">
        <f>K553</f>
        <v>400</v>
      </c>
      <c r="L552" s="69">
        <f>SUM(L553)</f>
        <v>400</v>
      </c>
      <c r="M552" s="21">
        <f t="shared" si="69"/>
        <v>100</v>
      </c>
    </row>
    <row r="553" spans="1:13" ht="37.5">
      <c r="A553" s="22" t="s">
        <v>105</v>
      </c>
      <c r="B553" s="23">
        <v>645</v>
      </c>
      <c r="C553" s="24" t="s">
        <v>68</v>
      </c>
      <c r="D553" s="24" t="s">
        <v>20</v>
      </c>
      <c r="E553" s="24" t="s">
        <v>439</v>
      </c>
      <c r="F553" s="24" t="s">
        <v>106</v>
      </c>
      <c r="G553" s="20"/>
      <c r="H553" s="20"/>
      <c r="I553" s="20"/>
      <c r="J553" s="20"/>
      <c r="K553" s="20">
        <v>400</v>
      </c>
      <c r="L553" s="69">
        <v>400</v>
      </c>
      <c r="M553" s="21">
        <f t="shared" si="69"/>
        <v>100</v>
      </c>
    </row>
    <row r="554" spans="1:13">
      <c r="A554" s="22" t="s">
        <v>440</v>
      </c>
      <c r="B554" s="23">
        <v>645</v>
      </c>
      <c r="C554" s="24" t="s">
        <v>68</v>
      </c>
      <c r="D554" s="24" t="s">
        <v>46</v>
      </c>
      <c r="E554" s="24" t="s">
        <v>95</v>
      </c>
      <c r="F554" s="24" t="s">
        <v>95</v>
      </c>
      <c r="G554" s="20"/>
      <c r="H554" s="20"/>
      <c r="I554" s="20"/>
      <c r="J554" s="20"/>
      <c r="K554" s="20">
        <f>K555</f>
        <v>1230</v>
      </c>
      <c r="L554" s="69">
        <f>SUM(L555)</f>
        <v>1230</v>
      </c>
      <c r="M554" s="21">
        <f t="shared" si="69"/>
        <v>100</v>
      </c>
    </row>
    <row r="555" spans="1:13" ht="37.5">
      <c r="A555" s="22" t="s">
        <v>415</v>
      </c>
      <c r="B555" s="23">
        <v>645</v>
      </c>
      <c r="C555" s="24" t="s">
        <v>68</v>
      </c>
      <c r="D555" s="24" t="s">
        <v>46</v>
      </c>
      <c r="E555" s="24" t="s">
        <v>416</v>
      </c>
      <c r="F555" s="24" t="s">
        <v>18</v>
      </c>
      <c r="G555" s="20"/>
      <c r="H555" s="20"/>
      <c r="I555" s="20"/>
      <c r="J555" s="20"/>
      <c r="K555" s="20">
        <f>K556</f>
        <v>1230</v>
      </c>
      <c r="L555" s="69">
        <f>SUM(L556)</f>
        <v>1230</v>
      </c>
      <c r="M555" s="21">
        <f t="shared" si="69"/>
        <v>100</v>
      </c>
    </row>
    <row r="556" spans="1:13">
      <c r="A556" s="22" t="s">
        <v>435</v>
      </c>
      <c r="B556" s="23">
        <v>645</v>
      </c>
      <c r="C556" s="24" t="s">
        <v>68</v>
      </c>
      <c r="D556" s="24" t="s">
        <v>46</v>
      </c>
      <c r="E556" s="24" t="s">
        <v>436</v>
      </c>
      <c r="F556" s="24"/>
      <c r="G556" s="20"/>
      <c r="H556" s="20"/>
      <c r="I556" s="20"/>
      <c r="J556" s="20"/>
      <c r="K556" s="20">
        <f>K557</f>
        <v>1230</v>
      </c>
      <c r="L556" s="69">
        <f>SUM(L557)</f>
        <v>1230</v>
      </c>
      <c r="M556" s="21">
        <f t="shared" si="69"/>
        <v>100</v>
      </c>
    </row>
    <row r="557" spans="1:13" ht="21.75" customHeight="1">
      <c r="A557" s="27" t="s">
        <v>441</v>
      </c>
      <c r="B557" s="23">
        <v>645</v>
      </c>
      <c r="C557" s="24" t="s">
        <v>68</v>
      </c>
      <c r="D557" s="24" t="s">
        <v>46</v>
      </c>
      <c r="E557" s="44" t="s">
        <v>442</v>
      </c>
      <c r="F557" s="24" t="s">
        <v>18</v>
      </c>
      <c r="G557" s="20"/>
      <c r="H557" s="20"/>
      <c r="I557" s="20"/>
      <c r="J557" s="20"/>
      <c r="K557" s="20">
        <f>K558</f>
        <v>1230</v>
      </c>
      <c r="L557" s="69">
        <f>SUM(L558)</f>
        <v>1230</v>
      </c>
      <c r="M557" s="21">
        <f t="shared" si="69"/>
        <v>100</v>
      </c>
    </row>
    <row r="558" spans="1:13" ht="37.5">
      <c r="A558" s="22" t="s">
        <v>102</v>
      </c>
      <c r="B558" s="23">
        <v>645</v>
      </c>
      <c r="C558" s="25" t="s">
        <v>68</v>
      </c>
      <c r="D558" s="25" t="s">
        <v>46</v>
      </c>
      <c r="E558" s="44" t="s">
        <v>442</v>
      </c>
      <c r="F558" s="24" t="s">
        <v>32</v>
      </c>
      <c r="G558" s="20"/>
      <c r="H558" s="20"/>
      <c r="I558" s="20"/>
      <c r="J558" s="20"/>
      <c r="K558" s="20">
        <v>1230</v>
      </c>
      <c r="L558" s="69">
        <v>1230</v>
      </c>
      <c r="M558" s="21">
        <f t="shared" si="69"/>
        <v>100</v>
      </c>
    </row>
    <row r="559" spans="1:13">
      <c r="A559" s="22"/>
      <c r="C559" s="24"/>
      <c r="D559" s="24"/>
      <c r="E559" s="24"/>
      <c r="F559" s="24"/>
      <c r="G559" s="20"/>
      <c r="H559" s="20"/>
      <c r="I559" s="20"/>
      <c r="J559" s="20"/>
      <c r="K559" s="20"/>
      <c r="M559" s="21"/>
    </row>
    <row r="560" spans="1:13">
      <c r="A560" s="1" t="s">
        <v>443</v>
      </c>
      <c r="C560" s="45"/>
      <c r="D560" s="24"/>
      <c r="E560" s="45"/>
      <c r="F560" s="45"/>
      <c r="G560" s="26"/>
      <c r="H560" s="20"/>
      <c r="I560" s="20"/>
      <c r="J560" s="26"/>
      <c r="K560" s="20">
        <f>K12+K28+K129+K162+K187+K281+K347+K376+K472+K507</f>
        <v>1470537.0199999998</v>
      </c>
      <c r="L560" s="69">
        <f>SUM(L12+L28+L129+L162+L187+L281+L347+L376+L472+L507)</f>
        <v>1421292.44</v>
      </c>
      <c r="M560" s="21">
        <f t="shared" si="69"/>
        <v>96.651251935160403</v>
      </c>
    </row>
    <row r="561" spans="1:13">
      <c r="A561" s="22"/>
      <c r="B561" s="23"/>
      <c r="C561" s="25"/>
      <c r="D561" s="25"/>
      <c r="E561" s="44"/>
      <c r="F561" s="24"/>
      <c r="G561" s="20"/>
      <c r="H561" s="20"/>
      <c r="I561" s="20"/>
      <c r="J561" s="20"/>
    </row>
    <row r="562" spans="1:13" s="57" customFormat="1">
      <c r="A562" s="48" t="s">
        <v>482</v>
      </c>
      <c r="B562" s="80"/>
      <c r="C562" s="81"/>
      <c r="D562" s="81"/>
      <c r="E562" s="81"/>
      <c r="F562" s="84" t="s">
        <v>489</v>
      </c>
      <c r="G562" s="84"/>
      <c r="H562" s="84"/>
      <c r="I562" s="84"/>
      <c r="J562" s="84"/>
      <c r="K562" s="84"/>
      <c r="L562" s="84"/>
      <c r="M562" s="84"/>
    </row>
    <row r="563" spans="1:13">
      <c r="L563" s="3"/>
    </row>
  </sheetData>
  <sheetProtection selectLockedCells="1" selectUnlockedCells="1"/>
  <mergeCells count="8">
    <mergeCell ref="F562:M562"/>
    <mergeCell ref="A6:M6"/>
    <mergeCell ref="A7:M7"/>
    <mergeCell ref="A8:M8"/>
    <mergeCell ref="K1:M1"/>
    <mergeCell ref="K2:M2"/>
    <mergeCell ref="K3:M3"/>
    <mergeCell ref="K4:M4"/>
  </mergeCells>
  <pageMargins left="0.47244094488188981" right="0.23622047244094491" top="0.35433070866141736" bottom="0.31496062992125984" header="0.19685039370078741" footer="0.51181102362204722"/>
  <pageSetup paperSize="9" scale="55" firstPageNumber="0" fitToHeight="16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D26"/>
  <sheetViews>
    <sheetView topLeftCell="A7" workbookViewId="0">
      <selection activeCell="D6" sqref="D6"/>
    </sheetView>
  </sheetViews>
  <sheetFormatPr defaultRowHeight="12.75"/>
  <cols>
    <col min="4" max="4" width="10.85546875" customWidth="1"/>
  </cols>
  <sheetData>
    <row r="4" spans="1:4" ht="18.75">
      <c r="A4" s="46">
        <v>822.4</v>
      </c>
      <c r="B4" s="46">
        <v>411.8</v>
      </c>
      <c r="C4" s="46">
        <v>520</v>
      </c>
    </row>
    <row r="5" spans="1:4" ht="18.75">
      <c r="A5" s="46">
        <v>300</v>
      </c>
      <c r="B5" s="46">
        <v>300</v>
      </c>
      <c r="C5" s="46">
        <v>300</v>
      </c>
    </row>
    <row r="6" spans="1:4" ht="18.75">
      <c r="A6" s="46">
        <v>510</v>
      </c>
      <c r="B6" s="46">
        <v>410</v>
      </c>
      <c r="C6" s="46">
        <v>410</v>
      </c>
      <c r="D6" s="46">
        <v>1140.04</v>
      </c>
    </row>
    <row r="7" spans="1:4" ht="18.75">
      <c r="A7" s="46">
        <v>3000</v>
      </c>
      <c r="B7" s="46">
        <v>16</v>
      </c>
      <c r="C7" s="46">
        <v>0</v>
      </c>
      <c r="D7" s="46">
        <v>299.61</v>
      </c>
    </row>
    <row r="8" spans="1:4" ht="18.75">
      <c r="A8" s="46">
        <v>100</v>
      </c>
      <c r="B8" s="46">
        <v>100</v>
      </c>
      <c r="C8" s="46">
        <v>300</v>
      </c>
      <c r="D8" s="46">
        <v>520</v>
      </c>
    </row>
    <row r="9" spans="1:4" ht="18.75">
      <c r="A9" s="46">
        <v>50</v>
      </c>
      <c r="B9" s="46">
        <v>50</v>
      </c>
      <c r="C9" s="46">
        <v>0</v>
      </c>
      <c r="D9" s="46">
        <v>26</v>
      </c>
    </row>
    <row r="10" spans="1:4" ht="18.75">
      <c r="A10" s="46">
        <v>100</v>
      </c>
      <c r="B10" s="46">
        <v>100</v>
      </c>
      <c r="C10" s="46">
        <v>100</v>
      </c>
      <c r="D10" s="46">
        <v>100</v>
      </c>
    </row>
    <row r="11" spans="1:4" ht="18.75">
      <c r="A11" s="46">
        <v>350</v>
      </c>
      <c r="B11" s="46">
        <v>370</v>
      </c>
      <c r="C11" s="46">
        <v>400</v>
      </c>
      <c r="D11" s="46">
        <v>50</v>
      </c>
    </row>
    <row r="12" spans="1:4" ht="18.75">
      <c r="A12" s="46">
        <v>21990.71</v>
      </c>
      <c r="B12" s="46">
        <v>26768</v>
      </c>
      <c r="C12" s="46">
        <v>22255</v>
      </c>
      <c r="D12" s="46">
        <v>100</v>
      </c>
    </row>
    <row r="13" spans="1:4" ht="18.75">
      <c r="A13" s="46">
        <v>50</v>
      </c>
      <c r="B13" s="46">
        <v>50</v>
      </c>
      <c r="C13" s="46">
        <v>200</v>
      </c>
      <c r="D13" s="46">
        <v>350</v>
      </c>
    </row>
    <row r="14" spans="1:4" ht="18.75">
      <c r="A14" s="46">
        <v>400</v>
      </c>
      <c r="B14" s="46">
        <v>350</v>
      </c>
      <c r="C14" s="46">
        <v>350</v>
      </c>
      <c r="D14" s="46">
        <v>22057.62</v>
      </c>
    </row>
    <row r="15" spans="1:4" ht="18.75">
      <c r="A15" s="46">
        <v>700.4</v>
      </c>
      <c r="B15" s="46">
        <v>625.20000000000005</v>
      </c>
      <c r="C15" s="46">
        <v>2100</v>
      </c>
      <c r="D15" s="46">
        <v>50</v>
      </c>
    </row>
    <row r="16" spans="1:4" ht="18.75">
      <c r="A16" s="46">
        <v>2652.67</v>
      </c>
      <c r="B16" s="46">
        <v>2500</v>
      </c>
      <c r="C16" s="46">
        <v>2500</v>
      </c>
      <c r="D16" s="46">
        <v>400</v>
      </c>
    </row>
    <row r="17" spans="1:4" ht="18.75">
      <c r="A17" s="46">
        <v>7984.94</v>
      </c>
      <c r="B17" s="46">
        <v>4277.1000000000004</v>
      </c>
      <c r="C17" s="46">
        <v>3000</v>
      </c>
      <c r="D17" s="46">
        <v>700.4</v>
      </c>
    </row>
    <row r="18" spans="1:4" ht="18.75">
      <c r="A18" s="46">
        <v>1000</v>
      </c>
      <c r="B18" s="46">
        <v>1000</v>
      </c>
      <c r="C18" s="46">
        <v>1000</v>
      </c>
      <c r="D18" s="46">
        <v>426.65</v>
      </c>
    </row>
    <row r="19" spans="1:4" ht="18.75">
      <c r="A19" s="46">
        <v>1139.6300000000001</v>
      </c>
      <c r="B19" s="46">
        <v>1300</v>
      </c>
      <c r="C19" s="46">
        <v>1300</v>
      </c>
      <c r="D19" s="46">
        <v>999.03</v>
      </c>
    </row>
    <row r="20" spans="1:4" ht="18.75">
      <c r="A20" s="46">
        <v>600</v>
      </c>
      <c r="B20" s="46">
        <v>600</v>
      </c>
      <c r="C20" s="46">
        <v>600</v>
      </c>
      <c r="D20" s="46">
        <v>660.36</v>
      </c>
    </row>
    <row r="21" spans="1:4" ht="18.75">
      <c r="A21" s="46">
        <v>1800</v>
      </c>
      <c r="B21" s="46">
        <v>1800</v>
      </c>
      <c r="C21" s="46">
        <v>1800</v>
      </c>
      <c r="D21" s="46">
        <v>600</v>
      </c>
    </row>
    <row r="22" spans="1:4" ht="18.75">
      <c r="A22" s="46">
        <v>1101.2</v>
      </c>
      <c r="B22" s="46">
        <v>0</v>
      </c>
      <c r="C22" s="46">
        <v>100</v>
      </c>
      <c r="D22" s="46">
        <v>1880</v>
      </c>
    </row>
    <row r="23" spans="1:4" ht="18.75">
      <c r="A23" s="46">
        <v>50</v>
      </c>
      <c r="B23" s="46">
        <v>0</v>
      </c>
      <c r="C23" s="46">
        <v>1000</v>
      </c>
      <c r="D23" s="46">
        <v>1845.2</v>
      </c>
    </row>
    <row r="24" spans="1:4" ht="18.75">
      <c r="B24" s="46">
        <v>50</v>
      </c>
      <c r="C24" s="46">
        <v>50</v>
      </c>
      <c r="D24" s="46">
        <v>50</v>
      </c>
    </row>
    <row r="25" spans="1:4" ht="18.75">
      <c r="A25" s="47">
        <f>SUM(A4:A24)</f>
        <v>44701.95</v>
      </c>
      <c r="B25" s="47">
        <f>SUM(B4:B24)</f>
        <v>41078.1</v>
      </c>
      <c r="C25" s="47">
        <f>SUM(C4:C24)</f>
        <v>38285</v>
      </c>
      <c r="D25" s="46">
        <v>2974</v>
      </c>
    </row>
    <row r="26" spans="1:4" ht="18.75">
      <c r="D26" s="46">
        <v>999.9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 вариант</vt:lpstr>
      <vt:lpstr>Отчет о совместимости</vt:lpstr>
      <vt:lpstr>'2 вариант'!Z_C03C1C25_8658_4C6D_9F57_9A327FB08A7C_.wvu.PrintArea</vt:lpstr>
      <vt:lpstr>'2 вариант'!Заголовки_для_печати</vt:lpstr>
      <vt:lpstr>'2 вариант'!Область_печати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2015-04-15T12:35:29Z</cp:lastPrinted>
  <dcterms:created xsi:type="dcterms:W3CDTF">2015-05-28T08:40:01Z</dcterms:created>
  <dcterms:modified xsi:type="dcterms:W3CDTF">2015-05-28T08:58:37Z</dcterms:modified>
</cp:coreProperties>
</file>