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 ГМО СК Сапунова\ПРОГНОЗЫ\Прогноз долгосрочный на 2025-2035 годы\Общественные\"/>
    </mc:Choice>
  </mc:AlternateContent>
  <bookViews>
    <workbookView xWindow="0" yWindow="0" windowWidth="21570" windowHeight="9705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ГО'!$A$1:$S$69</definedName>
  </definedNames>
  <calcPr calcId="152511" iterate="1"/>
</workbook>
</file>

<file path=xl/calcChain.xml><?xml version="1.0" encoding="utf-8"?>
<calcChain xmlns="http://schemas.openxmlformats.org/spreadsheetml/2006/main">
  <c r="R54" i="2" l="1"/>
  <c r="P54" i="2"/>
  <c r="S54" i="2" s="1"/>
  <c r="O54" i="2"/>
  <c r="N54" i="2"/>
  <c r="Q54" i="2" s="1"/>
  <c r="R35" i="2"/>
  <c r="O35" i="2"/>
  <c r="P35" i="2"/>
  <c r="O49" i="2" l="1"/>
  <c r="R49" i="2" s="1"/>
  <c r="D56" i="2"/>
  <c r="F56" i="2" s="1"/>
  <c r="I56" i="2" s="1"/>
  <c r="L56" i="2" s="1"/>
  <c r="M49" i="2"/>
  <c r="L49" i="2"/>
  <c r="K49" i="2"/>
  <c r="J49" i="2"/>
  <c r="I49" i="2"/>
  <c r="H49" i="2"/>
  <c r="G49" i="2"/>
  <c r="F49" i="2"/>
  <c r="E49" i="2"/>
  <c r="D49" i="2"/>
  <c r="C49" i="2"/>
  <c r="D45" i="2"/>
  <c r="E44" i="2"/>
  <c r="E45" i="2" s="1"/>
  <c r="D44" i="2"/>
  <c r="F44" i="2" s="1"/>
  <c r="D42" i="2"/>
  <c r="G42" i="2" s="1"/>
  <c r="J42" i="2" s="1"/>
  <c r="M42" i="2" s="1"/>
  <c r="M43" i="2" s="1"/>
  <c r="D39" i="2"/>
  <c r="G39" i="2" s="1"/>
  <c r="D37" i="2"/>
  <c r="G37" i="2" s="1"/>
  <c r="C35" i="2"/>
  <c r="E32" i="2"/>
  <c r="H32" i="2" s="1"/>
  <c r="K32" i="2" s="1"/>
  <c r="N32" i="2" s="1"/>
  <c r="Q32" i="2" s="1"/>
  <c r="D32" i="2"/>
  <c r="F32" i="2" s="1"/>
  <c r="I32" i="2" s="1"/>
  <c r="L32" i="2" s="1"/>
  <c r="O32" i="2" s="1"/>
  <c r="R32" i="2" s="1"/>
  <c r="D29" i="2"/>
  <c r="G29" i="2" s="1"/>
  <c r="J29" i="2" s="1"/>
  <c r="M29" i="2" s="1"/>
  <c r="D26" i="2"/>
  <c r="G26" i="2" s="1"/>
  <c r="J26" i="2" s="1"/>
  <c r="M26" i="2" s="1"/>
  <c r="P26" i="2" s="1"/>
  <c r="S26" i="2" s="1"/>
  <c r="M22" i="2"/>
  <c r="L22" i="2"/>
  <c r="K22" i="2"/>
  <c r="J22" i="2"/>
  <c r="I22" i="2"/>
  <c r="H22" i="2"/>
  <c r="G22" i="2"/>
  <c r="F22" i="2"/>
  <c r="E22" i="2"/>
  <c r="D22" i="2"/>
  <c r="C22" i="2"/>
  <c r="N22" i="2"/>
  <c r="O22" i="2"/>
  <c r="P22" i="2"/>
  <c r="Q22" i="2"/>
  <c r="R22" i="2"/>
  <c r="S22" i="2"/>
  <c r="N35" i="2"/>
  <c r="Q35" i="2"/>
  <c r="S35" i="2"/>
  <c r="G43" i="2" l="1"/>
  <c r="F50" i="2"/>
  <c r="G56" i="2"/>
  <c r="J56" i="2" s="1"/>
  <c r="M56" i="2" s="1"/>
  <c r="P56" i="2" s="1"/>
  <c r="S56" i="2" s="1"/>
  <c r="G32" i="2"/>
  <c r="J32" i="2" s="1"/>
  <c r="M32" i="2" s="1"/>
  <c r="D35" i="2"/>
  <c r="D36" i="2" s="1"/>
  <c r="D43" i="2"/>
  <c r="J43" i="2"/>
  <c r="G44" i="2"/>
  <c r="G45" i="2" s="1"/>
  <c r="E50" i="2"/>
  <c r="G50" i="2"/>
  <c r="I50" i="2"/>
  <c r="K50" i="2"/>
  <c r="M50" i="2"/>
  <c r="P49" i="2"/>
  <c r="S49" i="2" s="1"/>
  <c r="E56" i="2"/>
  <c r="H56" i="2" s="1"/>
  <c r="K56" i="2" s="1"/>
  <c r="N56" i="2" s="1"/>
  <c r="Q56" i="2" s="1"/>
  <c r="N49" i="2"/>
  <c r="Q49" i="2" s="1"/>
  <c r="D50" i="2"/>
  <c r="H50" i="2"/>
  <c r="J50" i="2"/>
  <c r="L50" i="2"/>
  <c r="F45" i="2"/>
  <c r="I44" i="2"/>
  <c r="H44" i="2"/>
  <c r="J44" i="2"/>
  <c r="F42" i="2"/>
  <c r="E42" i="2"/>
  <c r="G35" i="2"/>
  <c r="J37" i="2"/>
  <c r="J39" i="2"/>
  <c r="F37" i="2"/>
  <c r="D38" i="2"/>
  <c r="F39" i="2"/>
  <c r="D40" i="2"/>
  <c r="E37" i="2"/>
  <c r="E39" i="2"/>
  <c r="G40" i="2" s="1"/>
  <c r="F29" i="2"/>
  <c r="I29" i="2" s="1"/>
  <c r="L29" i="2" s="1"/>
  <c r="O29" i="2" s="1"/>
  <c r="R29" i="2" s="1"/>
  <c r="E29" i="2"/>
  <c r="H29" i="2" s="1"/>
  <c r="K29" i="2" s="1"/>
  <c r="N29" i="2" s="1"/>
  <c r="Q29" i="2" s="1"/>
  <c r="F26" i="2"/>
  <c r="I26" i="2" s="1"/>
  <c r="L26" i="2" s="1"/>
  <c r="O26" i="2" s="1"/>
  <c r="R26" i="2" s="1"/>
  <c r="E26" i="2"/>
  <c r="H26" i="2" s="1"/>
  <c r="K26" i="2" s="1"/>
  <c r="N26" i="2" s="1"/>
  <c r="Q26" i="2" s="1"/>
  <c r="P29" i="2"/>
  <c r="S29" i="2" s="1"/>
  <c r="P32" i="2"/>
  <c r="S32" i="2" s="1"/>
  <c r="O56" i="2"/>
  <c r="R56" i="2" s="1"/>
  <c r="H42" i="2" l="1"/>
  <c r="E43" i="2"/>
  <c r="I42" i="2"/>
  <c r="F43" i="2"/>
  <c r="J45" i="2"/>
  <c r="M44" i="2"/>
  <c r="M45" i="2" s="1"/>
  <c r="I45" i="2"/>
  <c r="L44" i="2"/>
  <c r="L45" i="2" s="1"/>
  <c r="H45" i="2"/>
  <c r="K44" i="2"/>
  <c r="K45" i="2" s="1"/>
  <c r="E38" i="2"/>
  <c r="E35" i="2"/>
  <c r="E36" i="2" s="1"/>
  <c r="H37" i="2"/>
  <c r="I39" i="2"/>
  <c r="F40" i="2"/>
  <c r="I37" i="2"/>
  <c r="F38" i="2"/>
  <c r="F35" i="2"/>
  <c r="F36" i="2" s="1"/>
  <c r="E40" i="2"/>
  <c r="H39" i="2"/>
  <c r="M39" i="2"/>
  <c r="J40" i="2"/>
  <c r="M37" i="2"/>
  <c r="J38" i="2"/>
  <c r="J35" i="2"/>
  <c r="J36" i="2" s="1"/>
  <c r="G38" i="2"/>
  <c r="M40" i="2" l="1"/>
  <c r="L42" i="2"/>
  <c r="L43" i="2" s="1"/>
  <c r="I43" i="2"/>
  <c r="K42" i="2"/>
  <c r="K43" i="2" s="1"/>
  <c r="H43" i="2"/>
  <c r="M38" i="2"/>
  <c r="M35" i="2"/>
  <c r="I38" i="2"/>
  <c r="I35" i="2"/>
  <c r="I36" i="2" s="1"/>
  <c r="L37" i="2"/>
  <c r="I40" i="2"/>
  <c r="L39" i="2"/>
  <c r="L40" i="2" s="1"/>
  <c r="K39" i="2"/>
  <c r="K40" i="2" s="1"/>
  <c r="H40" i="2"/>
  <c r="G36" i="2"/>
  <c r="K37" i="2"/>
  <c r="H38" i="2"/>
  <c r="H35" i="2"/>
  <c r="H36" i="2" s="1"/>
  <c r="M36" i="2" l="1"/>
  <c r="K38" i="2"/>
  <c r="K35" i="2"/>
  <c r="K36" i="2" s="1"/>
  <c r="L38" i="2"/>
  <c r="L35" i="2"/>
  <c r="L36" i="2" s="1"/>
</calcChain>
</file>

<file path=xl/sharedStrings.xml><?xml version="1.0" encoding="utf-8"?>
<sst xmlns="http://schemas.openxmlformats.org/spreadsheetml/2006/main" count="129" uniqueCount="87">
  <si>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</si>
  <si>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</si>
  <si>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</si>
  <si>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</si>
  <si>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</si>
  <si>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</si>
  <si>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</si>
  <si>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</si>
  <si>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</si>
  <si>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</si>
  <si>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</si>
  <si>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</si>
  <si>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</si>
  <si>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</si>
  <si>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</si>
  <si>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</si>
  <si>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</si>
  <si>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</si>
  <si>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</si>
  <si>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</si>
  <si>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</si>
  <si>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</si>
  <si>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</si>
  <si>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</si>
  <si>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</si>
  <si>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</si>
  <si>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</si>
  <si>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</si>
  <si>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</si>
  <si>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</si>
  <si>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</si>
  <si>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</si>
  <si>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</si>
  <si>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</si>
  <si>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</si>
  <si>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</si>
  <si>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</si>
  <si>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</si>
  <si>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</si>
  <si>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</si>
  <si>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</si>
  <si>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</si>
  <si>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</si>
  <si>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</si>
  <si>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</si>
  <si>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</si>
  <si>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</si>
  <si>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целевой</t>
  </si>
  <si>
    <t>3 вариант</t>
  </si>
  <si>
    <t>ПРОГНОЗ</t>
  </si>
  <si>
    <t>учрежд. на 100 тыс. населения</t>
  </si>
  <si>
    <t>округа Ставропольского края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</si>
  <si>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</si>
  <si>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</si>
  <si>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</si>
  <si>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</si>
  <si>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</si>
  <si>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</si>
  <si>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</si>
  <si>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</si>
  <si>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</si>
  <si>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</si>
  <si>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</si>
  <si>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</si>
  <si>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</si>
  <si>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</si>
  <si>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</si>
  <si>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</si>
  <si>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</si>
  <si>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</si>
  <si>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</si>
  <si>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</si>
  <si>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</si>
  <si>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</si>
  <si>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</si>
  <si>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</si>
  <si>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>УТВЕРЖДЕН</t>
  </si>
  <si>
    <t xml:space="preserve">постановлением администрации </t>
  </si>
  <si>
    <t>Численность постоянного  населения (среднегодовая)</t>
  </si>
  <si>
    <t xml:space="preserve">млн руб. </t>
  </si>
  <si>
    <t>Темп роста отгрузки водоснабжения; водоотведения, организации сбора и утилизации отходов, деятельности по ликвидации загрязнений</t>
  </si>
  <si>
    <t>млн руб.</t>
  </si>
  <si>
    <t>млн рублей</t>
  </si>
  <si>
    <t>_______</t>
  </si>
  <si>
    <t>Георгиевского муниципального</t>
  </si>
  <si>
    <t xml:space="preserve"> социально-экономического развития Георгиевского муниципального округа Ставропольского края до 2035 года</t>
  </si>
  <si>
    <t xml:space="preserve">от             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</si>
</sst>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164" fontId="1" fillId="0" borderId="5" xfId="0" applyNumberFormat="1" applyFont="1" applyFill="1" applyBorder="1" applyAlignment="1" applyProtection="1">
      <alignment vertical="center" wrapText="1"/>
      <protection locked="0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2" fontId="2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wrapText="1"/>
    </xf>
    <xf numFmtId="164" fontId="1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3" fillId="2" borderId="0" xfId="0" applyFont="1" applyFill="1"/>
    <xf numFmtId="0" fontId="3" fillId="3" borderId="0" xfId="0" applyFont="1" applyFill="1"/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164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view="pageBreakPreview" topLeftCell="A64" zoomScale="70" zoomScaleNormal="70" zoomScaleSheetLayoutView="70" workbookViewId="0">
      <selection activeCell="D82" sqref="D82"/>
    </sheetView>
  </sheetViews>
  <sheetFormatPr defaultColWidth="9.140625" defaultRowHeight="18" x14ac:dyDescent="0.25"/>
  <cols>
    <col min="1" max="1" width="38.42578125" style="3" customWidth="1"/>
    <col min="2" max="2" width="23.7109375" style="11" customWidth="1"/>
    <col min="3" max="3" width="15.85546875" style="3" customWidth="1"/>
    <col min="4" max="4" width="13.5703125" style="3" customWidth="1"/>
    <col min="5" max="5" width="16" style="3" customWidth="1"/>
    <col min="6" max="6" width="15.42578125" style="3" customWidth="1"/>
    <col min="7" max="7" width="16.140625" style="3" customWidth="1"/>
    <col min="8" max="8" width="14" style="3" customWidth="1"/>
    <col min="9" max="9" width="15.140625" style="3" customWidth="1"/>
    <col min="10" max="10" width="16.85546875" style="3" customWidth="1"/>
    <col min="11" max="11" width="15.28515625" style="3" customWidth="1"/>
    <col min="12" max="12" width="15.85546875" style="3" customWidth="1"/>
    <col min="13" max="13" width="15.140625" style="3" customWidth="1"/>
    <col min="14" max="14" width="13" style="19" customWidth="1"/>
    <col min="15" max="15" width="14.28515625" style="18" customWidth="1"/>
    <col min="16" max="16" width="13.140625" style="3" customWidth="1"/>
    <col min="17" max="17" width="13.28515625" style="19" customWidth="1"/>
    <col min="18" max="18" width="16.42578125" style="18" customWidth="1"/>
    <col min="19" max="19" width="14.5703125" style="3" customWidth="1"/>
    <col min="20" max="16384" width="9.140625" style="3"/>
  </cols>
  <sheetData>
    <row r="1" spans="1:19" s="5" customFormat="1" ht="29.25" customHeight="1" x14ac:dyDescent="0.45">
      <c r="B1" s="13"/>
      <c r="C1" s="14"/>
      <c r="D1" s="14"/>
      <c r="E1" s="14"/>
      <c r="F1" s="14"/>
      <c r="G1" s="14"/>
      <c r="H1" s="24"/>
      <c r="I1" s="24"/>
      <c r="J1" s="24"/>
      <c r="K1" s="36"/>
      <c r="L1" s="36"/>
      <c r="M1" s="36"/>
      <c r="N1" s="15"/>
      <c r="O1" s="37" t="s">
        <v>76</v>
      </c>
      <c r="P1" s="37"/>
      <c r="Q1" s="37"/>
      <c r="R1" s="37"/>
      <c r="S1" s="37"/>
    </row>
    <row r="2" spans="1:19" s="5" customFormat="1" ht="20.25" customHeight="1" x14ac:dyDescent="0.45">
      <c r="B2" s="13"/>
      <c r="C2" s="14"/>
      <c r="D2" s="14"/>
      <c r="E2" s="14"/>
      <c r="F2" s="14"/>
      <c r="G2" s="14"/>
      <c r="H2" s="24"/>
      <c r="I2" s="24"/>
      <c r="J2" s="24"/>
      <c r="K2" s="36"/>
      <c r="L2" s="36"/>
      <c r="M2" s="36"/>
      <c r="N2" s="15"/>
      <c r="O2" s="15"/>
      <c r="P2" s="15"/>
      <c r="Q2" s="15"/>
      <c r="R2" s="15"/>
      <c r="S2" s="15"/>
    </row>
    <row r="3" spans="1:19" s="5" customFormat="1" ht="25.5" customHeight="1" x14ac:dyDescent="0.45">
      <c r="B3" s="13"/>
      <c r="C3" s="14"/>
      <c r="D3" s="14"/>
      <c r="E3" s="14"/>
      <c r="F3" s="14"/>
      <c r="G3" s="14"/>
      <c r="H3" s="24"/>
      <c r="I3" s="24"/>
      <c r="J3" s="24"/>
      <c r="K3" s="39"/>
      <c r="L3" s="39"/>
      <c r="M3" s="39"/>
      <c r="N3" s="15"/>
      <c r="O3" s="38" t="s">
        <v>77</v>
      </c>
      <c r="P3" s="38"/>
      <c r="Q3" s="38"/>
      <c r="R3" s="38"/>
      <c r="S3" s="38"/>
    </row>
    <row r="4" spans="1:19" s="5" customFormat="1" ht="26.25" customHeight="1" x14ac:dyDescent="0.45">
      <c r="B4" s="13"/>
      <c r="C4" s="14"/>
      <c r="D4" s="14"/>
      <c r="E4" s="14"/>
      <c r="F4" s="14"/>
      <c r="G4" s="14"/>
      <c r="H4" s="24"/>
      <c r="I4" s="24"/>
      <c r="J4" s="24"/>
      <c r="K4" s="39"/>
      <c r="L4" s="39"/>
      <c r="M4" s="39"/>
      <c r="N4" s="15"/>
      <c r="O4" s="38" t="s">
        <v>84</v>
      </c>
      <c r="P4" s="38"/>
      <c r="Q4" s="38"/>
      <c r="R4" s="38"/>
      <c r="S4" s="38"/>
    </row>
    <row r="5" spans="1:19" s="5" customFormat="1" ht="27.75" customHeight="1" x14ac:dyDescent="0.45">
      <c r="B5" s="13"/>
      <c r="C5" s="14"/>
      <c r="D5" s="14"/>
      <c r="E5" s="14"/>
      <c r="F5" s="14"/>
      <c r="G5" s="14"/>
      <c r="H5" s="24"/>
      <c r="I5" s="24"/>
      <c r="J5" s="24"/>
      <c r="K5" s="39"/>
      <c r="L5" s="39"/>
      <c r="M5" s="39"/>
      <c r="N5" s="15"/>
      <c r="O5" s="38" t="s">
        <v>51</v>
      </c>
      <c r="P5" s="38"/>
      <c r="Q5" s="38"/>
      <c r="R5" s="38"/>
      <c r="S5" s="38"/>
    </row>
    <row r="6" spans="1:19" s="5" customFormat="1" ht="27.75" customHeight="1" x14ac:dyDescent="0.45">
      <c r="B6" s="13"/>
      <c r="C6" s="14"/>
      <c r="D6" s="14"/>
      <c r="E6" s="14"/>
      <c r="F6" s="14"/>
      <c r="G6" s="14"/>
      <c r="H6" s="24"/>
      <c r="I6" s="24"/>
      <c r="J6" s="24"/>
      <c r="K6" s="39"/>
      <c r="L6" s="39"/>
      <c r="M6" s="39"/>
      <c r="N6" s="15"/>
      <c r="O6" s="38" t="s">
        <v>86</v>
      </c>
      <c r="P6" s="38"/>
      <c r="Q6" s="38"/>
      <c r="R6" s="38"/>
      <c r="S6" s="38"/>
    </row>
    <row r="7" spans="1:19" s="5" customFormat="1" ht="30.75" x14ac:dyDescent="0.45">
      <c r="B7" s="13"/>
      <c r="C7" s="14"/>
      <c r="D7" s="14"/>
      <c r="E7" s="14"/>
      <c r="F7" s="14"/>
      <c r="G7" s="14"/>
      <c r="H7" s="24"/>
      <c r="I7" s="24"/>
      <c r="J7" s="24"/>
      <c r="K7" s="24"/>
      <c r="L7" s="24"/>
      <c r="M7" s="24"/>
      <c r="N7" s="15"/>
      <c r="O7" s="15"/>
      <c r="P7" s="15"/>
      <c r="Q7" s="15"/>
      <c r="R7" s="15"/>
      <c r="S7" s="15"/>
    </row>
    <row r="8" spans="1:19" s="5" customFormat="1" ht="30.75" x14ac:dyDescent="0.45">
      <c r="B8" s="13"/>
      <c r="C8" s="14"/>
      <c r="D8" s="14"/>
      <c r="E8" s="14"/>
      <c r="F8" s="14"/>
      <c r="G8" s="14"/>
      <c r="H8" s="24"/>
      <c r="I8" s="24"/>
      <c r="J8" s="24"/>
      <c r="K8" s="24"/>
      <c r="L8" s="24"/>
      <c r="M8" s="24"/>
      <c r="N8" s="15"/>
      <c r="O8" s="15"/>
      <c r="P8" s="15"/>
      <c r="Q8" s="15"/>
      <c r="R8" s="15"/>
      <c r="S8" s="15"/>
    </row>
    <row r="9" spans="1:19" s="5" customFormat="1" ht="30.75" x14ac:dyDescent="0.45">
      <c r="B9" s="13"/>
      <c r="C9" s="14"/>
      <c r="D9" s="14"/>
      <c r="E9" s="14"/>
      <c r="F9" s="14"/>
      <c r="G9" s="14"/>
      <c r="H9" s="24"/>
      <c r="I9" s="24"/>
      <c r="J9" s="24"/>
      <c r="K9" s="23"/>
      <c r="L9" s="23"/>
      <c r="M9" s="23"/>
      <c r="N9" s="15"/>
      <c r="O9" s="15"/>
      <c r="P9" s="15"/>
      <c r="Q9" s="15"/>
      <c r="R9" s="15"/>
      <c r="S9" s="15"/>
    </row>
    <row r="10" spans="1:19" s="5" customFormat="1" ht="30.75" x14ac:dyDescent="0.45">
      <c r="B10" s="36" t="s">
        <v>49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14"/>
    </row>
    <row r="11" spans="1:19" s="5" customFormat="1" ht="42" customHeight="1" x14ac:dyDescent="0.45">
      <c r="A11" s="10"/>
      <c r="B11" s="40" t="s">
        <v>85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14"/>
    </row>
    <row r="12" spans="1:19" ht="23.25" customHeight="1" x14ac:dyDescent="0.25">
      <c r="N12" s="3"/>
      <c r="O12" s="3"/>
      <c r="Q12" s="3"/>
      <c r="R12" s="3"/>
    </row>
    <row r="13" spans="1:19" s="5" customFormat="1" ht="56.25" x14ac:dyDescent="0.3">
      <c r="A13" s="43" t="s">
        <v>24</v>
      </c>
      <c r="B13" s="43" t="s">
        <v>25</v>
      </c>
      <c r="C13" s="22" t="s">
        <v>70</v>
      </c>
      <c r="D13" s="22" t="s">
        <v>69</v>
      </c>
      <c r="E13" s="55" t="s">
        <v>71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</row>
    <row r="14" spans="1:19" s="5" customFormat="1" ht="18.75" x14ac:dyDescent="0.3">
      <c r="A14" s="44"/>
      <c r="B14" s="44"/>
      <c r="C14" s="43">
        <v>2023</v>
      </c>
      <c r="D14" s="43">
        <v>2024</v>
      </c>
      <c r="E14" s="41">
        <v>2025</v>
      </c>
      <c r="F14" s="42"/>
      <c r="G14" s="51"/>
      <c r="H14" s="41">
        <v>2026</v>
      </c>
      <c r="I14" s="42"/>
      <c r="J14" s="51"/>
      <c r="K14" s="41">
        <v>2027</v>
      </c>
      <c r="L14" s="42"/>
      <c r="M14" s="42"/>
      <c r="N14" s="55">
        <v>2030</v>
      </c>
      <c r="O14" s="55"/>
      <c r="P14" s="55"/>
      <c r="Q14" s="55">
        <v>2035</v>
      </c>
      <c r="R14" s="55"/>
      <c r="S14" s="55"/>
    </row>
    <row r="15" spans="1:19" s="5" customFormat="1" ht="33.75" customHeight="1" x14ac:dyDescent="0.3">
      <c r="A15" s="44"/>
      <c r="B15" s="44"/>
      <c r="C15" s="44"/>
      <c r="D15" s="44"/>
      <c r="E15" s="22" t="s">
        <v>34</v>
      </c>
      <c r="F15" s="22" t="s">
        <v>33</v>
      </c>
      <c r="G15" s="22" t="s">
        <v>47</v>
      </c>
      <c r="H15" s="22" t="s">
        <v>34</v>
      </c>
      <c r="I15" s="22" t="s">
        <v>33</v>
      </c>
      <c r="J15" s="22" t="s">
        <v>47</v>
      </c>
      <c r="K15" s="22" t="s">
        <v>34</v>
      </c>
      <c r="L15" s="22" t="s">
        <v>33</v>
      </c>
      <c r="M15" s="22" t="s">
        <v>47</v>
      </c>
      <c r="N15" s="22" t="s">
        <v>34</v>
      </c>
      <c r="O15" s="22" t="s">
        <v>33</v>
      </c>
      <c r="P15" s="22" t="s">
        <v>47</v>
      </c>
      <c r="Q15" s="22" t="s">
        <v>34</v>
      </c>
      <c r="R15" s="22" t="s">
        <v>33</v>
      </c>
      <c r="S15" s="22" t="s">
        <v>47</v>
      </c>
    </row>
    <row r="16" spans="1:19" s="5" customFormat="1" ht="26.25" customHeight="1" x14ac:dyDescent="0.3">
      <c r="A16" s="45"/>
      <c r="B16" s="45"/>
      <c r="C16" s="45"/>
      <c r="D16" s="45"/>
      <c r="E16" s="22" t="s">
        <v>35</v>
      </c>
      <c r="F16" s="22" t="s">
        <v>36</v>
      </c>
      <c r="G16" s="21" t="s">
        <v>48</v>
      </c>
      <c r="H16" s="22" t="s">
        <v>35</v>
      </c>
      <c r="I16" s="22" t="s">
        <v>36</v>
      </c>
      <c r="J16" s="21" t="s">
        <v>48</v>
      </c>
      <c r="K16" s="22" t="s">
        <v>35</v>
      </c>
      <c r="L16" s="21" t="s">
        <v>36</v>
      </c>
      <c r="M16" s="21" t="s">
        <v>48</v>
      </c>
      <c r="N16" s="22" t="s">
        <v>35</v>
      </c>
      <c r="O16" s="22" t="s">
        <v>36</v>
      </c>
      <c r="P16" s="22" t="s">
        <v>48</v>
      </c>
      <c r="Q16" s="22" t="s">
        <v>35</v>
      </c>
      <c r="R16" s="22" t="s">
        <v>36</v>
      </c>
      <c r="S16" s="22" t="s">
        <v>48</v>
      </c>
    </row>
    <row r="17" spans="1:19" s="5" customFormat="1" ht="22.5" customHeight="1" x14ac:dyDescent="0.3">
      <c r="A17" s="52" t="s">
        <v>58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4"/>
    </row>
    <row r="18" spans="1:19" s="5" customFormat="1" ht="58.5" customHeight="1" x14ac:dyDescent="0.3">
      <c r="A18" s="4" t="s">
        <v>78</v>
      </c>
      <c r="B18" s="4" t="s">
        <v>11</v>
      </c>
      <c r="C18" s="1">
        <v>158.19999999999999</v>
      </c>
      <c r="D18" s="1">
        <v>157</v>
      </c>
      <c r="E18" s="1">
        <v>156.30000000000001</v>
      </c>
      <c r="F18" s="1">
        <v>156.5</v>
      </c>
      <c r="G18" s="1">
        <v>156.5</v>
      </c>
      <c r="H18" s="1">
        <v>155.80000000000001</v>
      </c>
      <c r="I18" s="1">
        <v>156</v>
      </c>
      <c r="J18" s="1">
        <v>156</v>
      </c>
      <c r="K18" s="1">
        <v>155.5</v>
      </c>
      <c r="L18" s="27">
        <v>155.69999999999999</v>
      </c>
      <c r="M18" s="27">
        <v>155.69999999999999</v>
      </c>
      <c r="N18" s="4">
        <v>156.5</v>
      </c>
      <c r="O18" s="4">
        <v>156.6</v>
      </c>
      <c r="P18" s="4">
        <v>157</v>
      </c>
      <c r="Q18" s="4">
        <v>156.80000000000001</v>
      </c>
      <c r="R18" s="4">
        <v>156.9</v>
      </c>
      <c r="S18" s="4">
        <v>157</v>
      </c>
    </row>
    <row r="19" spans="1:19" s="5" customFormat="1" ht="50.25" customHeight="1" x14ac:dyDescent="0.3">
      <c r="A19" s="4" t="s">
        <v>59</v>
      </c>
      <c r="B19" s="4" t="s">
        <v>11</v>
      </c>
      <c r="C19" s="1">
        <v>93.5</v>
      </c>
      <c r="D19" s="1">
        <v>93</v>
      </c>
      <c r="E19" s="1">
        <v>92.5</v>
      </c>
      <c r="F19" s="1">
        <v>92.7</v>
      </c>
      <c r="G19" s="1">
        <v>92.7</v>
      </c>
      <c r="H19" s="1">
        <v>92.1</v>
      </c>
      <c r="I19" s="1">
        <v>92.3</v>
      </c>
      <c r="J19" s="1">
        <v>92.3</v>
      </c>
      <c r="K19" s="1">
        <v>91.8</v>
      </c>
      <c r="L19" s="27">
        <v>92</v>
      </c>
      <c r="M19" s="27">
        <v>92</v>
      </c>
      <c r="N19" s="4">
        <v>91.9</v>
      </c>
      <c r="O19" s="4">
        <v>92</v>
      </c>
      <c r="P19" s="4">
        <v>92.1</v>
      </c>
      <c r="Q19" s="4">
        <v>91.9</v>
      </c>
      <c r="R19" s="4">
        <v>92</v>
      </c>
      <c r="S19" s="4">
        <v>92.1</v>
      </c>
    </row>
    <row r="20" spans="1:19" s="5" customFormat="1" ht="91.5" customHeight="1" x14ac:dyDescent="0.3">
      <c r="A20" s="4" t="s">
        <v>26</v>
      </c>
      <c r="B20" s="4" t="s">
        <v>60</v>
      </c>
      <c r="C20" s="1">
        <v>8.3000000000000007</v>
      </c>
      <c r="D20" s="1">
        <v>7.5</v>
      </c>
      <c r="E20" s="1">
        <v>7.6</v>
      </c>
      <c r="F20" s="1">
        <v>7.8</v>
      </c>
      <c r="G20" s="1">
        <v>7.8</v>
      </c>
      <c r="H20" s="1">
        <v>7.8</v>
      </c>
      <c r="I20" s="1">
        <v>8</v>
      </c>
      <c r="J20" s="1">
        <v>8</v>
      </c>
      <c r="K20" s="1">
        <v>8</v>
      </c>
      <c r="L20" s="27">
        <v>8.1999999999999993</v>
      </c>
      <c r="M20" s="27">
        <v>8.1999999999999993</v>
      </c>
      <c r="N20" s="4">
        <v>8.1</v>
      </c>
      <c r="O20" s="4">
        <v>8.1999999999999993</v>
      </c>
      <c r="P20" s="4">
        <v>8.3000000000000007</v>
      </c>
      <c r="Q20" s="4">
        <v>8.1999999999999993</v>
      </c>
      <c r="R20" s="4">
        <v>8.3000000000000007</v>
      </c>
      <c r="S20" s="4">
        <v>8.3000000000000007</v>
      </c>
    </row>
    <row r="21" spans="1:19" s="5" customFormat="1" ht="70.5" customHeight="1" x14ac:dyDescent="0.3">
      <c r="A21" s="4" t="s">
        <v>27</v>
      </c>
      <c r="B21" s="4" t="s">
        <v>28</v>
      </c>
      <c r="C21" s="1">
        <v>11.6</v>
      </c>
      <c r="D21" s="1">
        <v>13</v>
      </c>
      <c r="E21" s="1">
        <v>12.8</v>
      </c>
      <c r="F21" s="1">
        <v>12.5</v>
      </c>
      <c r="G21" s="1">
        <v>12.5</v>
      </c>
      <c r="H21" s="1">
        <v>12.5</v>
      </c>
      <c r="I21" s="1">
        <v>12.3</v>
      </c>
      <c r="J21" s="1">
        <v>12.3</v>
      </c>
      <c r="K21" s="1">
        <v>11.8</v>
      </c>
      <c r="L21" s="27">
        <v>11.5</v>
      </c>
      <c r="M21" s="27">
        <v>11.5</v>
      </c>
      <c r="N21" s="4">
        <v>11.5</v>
      </c>
      <c r="O21" s="4">
        <v>11.3</v>
      </c>
      <c r="P21" s="4">
        <v>11.3</v>
      </c>
      <c r="Q21" s="4">
        <v>11.3</v>
      </c>
      <c r="R21" s="4">
        <v>11.2</v>
      </c>
      <c r="S21" s="4">
        <v>11</v>
      </c>
    </row>
    <row r="22" spans="1:19" s="5" customFormat="1" ht="41.25" customHeight="1" x14ac:dyDescent="0.3">
      <c r="A22" s="4" t="s">
        <v>29</v>
      </c>
      <c r="B22" s="4" t="s">
        <v>30</v>
      </c>
      <c r="C22" s="1">
        <f>C20-C21</f>
        <v>-3.2999999999999989</v>
      </c>
      <c r="D22" s="1">
        <f>D20-D21</f>
        <v>-5.5</v>
      </c>
      <c r="E22" s="1">
        <f>E20-E21</f>
        <v>-5.2000000000000011</v>
      </c>
      <c r="F22" s="1">
        <f t="shared" ref="F22:M22" si="0">F20-F21</f>
        <v>-4.7</v>
      </c>
      <c r="G22" s="1">
        <f t="shared" si="0"/>
        <v>-4.7</v>
      </c>
      <c r="H22" s="1">
        <f t="shared" si="0"/>
        <v>-4.7</v>
      </c>
      <c r="I22" s="1">
        <f t="shared" si="0"/>
        <v>-4.3000000000000007</v>
      </c>
      <c r="J22" s="1">
        <f t="shared" si="0"/>
        <v>-4.3000000000000007</v>
      </c>
      <c r="K22" s="1">
        <f t="shared" si="0"/>
        <v>-3.8000000000000007</v>
      </c>
      <c r="L22" s="1">
        <f t="shared" si="0"/>
        <v>-3.3000000000000007</v>
      </c>
      <c r="M22" s="1">
        <f t="shared" si="0"/>
        <v>-3.3000000000000007</v>
      </c>
      <c r="N22" s="4">
        <f t="shared" ref="N22:S22" si="1">N20-N21</f>
        <v>-3.4000000000000004</v>
      </c>
      <c r="O22" s="4">
        <f t="shared" si="1"/>
        <v>-3.1000000000000014</v>
      </c>
      <c r="P22" s="4">
        <f t="shared" si="1"/>
        <v>-3</v>
      </c>
      <c r="Q22" s="4">
        <f t="shared" si="1"/>
        <v>-3.1000000000000014</v>
      </c>
      <c r="R22" s="4">
        <f t="shared" si="1"/>
        <v>-2.8999999999999986</v>
      </c>
      <c r="S22" s="4">
        <f t="shared" si="1"/>
        <v>-2.6999999999999993</v>
      </c>
    </row>
    <row r="23" spans="1:19" s="5" customFormat="1" ht="36.75" customHeight="1" x14ac:dyDescent="0.3">
      <c r="A23" s="4" t="s">
        <v>72</v>
      </c>
      <c r="B23" s="4" t="s">
        <v>75</v>
      </c>
      <c r="C23" s="33">
        <v>-2.4E-2</v>
      </c>
      <c r="D23" s="1">
        <v>-0.3</v>
      </c>
      <c r="E23" s="1">
        <v>-0.3</v>
      </c>
      <c r="F23" s="1">
        <v>-0.2</v>
      </c>
      <c r="G23" s="1">
        <v>-0.2</v>
      </c>
      <c r="H23" s="1">
        <v>-0.5</v>
      </c>
      <c r="I23" s="1">
        <v>-0.2</v>
      </c>
      <c r="J23" s="1">
        <v>-0.2</v>
      </c>
      <c r="K23" s="1">
        <v>-0.7</v>
      </c>
      <c r="L23" s="27">
        <v>-0.1</v>
      </c>
      <c r="M23" s="27">
        <v>-0.1</v>
      </c>
      <c r="N23" s="4">
        <v>-0.5</v>
      </c>
      <c r="O23" s="20">
        <v>-0.3</v>
      </c>
      <c r="P23" s="20">
        <v>-0.2</v>
      </c>
      <c r="Q23" s="20">
        <v>-0.5</v>
      </c>
      <c r="R23" s="20">
        <v>-0.3</v>
      </c>
      <c r="S23" s="20">
        <v>-0.2</v>
      </c>
    </row>
    <row r="24" spans="1:19" s="5" customFormat="1" ht="18.75" customHeight="1" x14ac:dyDescent="0.3">
      <c r="A24" s="47" t="s">
        <v>55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9"/>
    </row>
    <row r="25" spans="1:19" s="5" customFormat="1" ht="18.75" customHeight="1" x14ac:dyDescent="0.3">
      <c r="A25" s="47" t="s">
        <v>56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9"/>
    </row>
    <row r="26" spans="1:19" s="5" customFormat="1" ht="92.25" customHeight="1" x14ac:dyDescent="0.3">
      <c r="A26" s="4" t="s">
        <v>57</v>
      </c>
      <c r="B26" s="4" t="s">
        <v>79</v>
      </c>
      <c r="C26" s="25">
        <v>14027.6</v>
      </c>
      <c r="D26" s="25">
        <f>C26*D27/100</f>
        <v>12624.84</v>
      </c>
      <c r="E26" s="25">
        <f>D26*E27/100</f>
        <v>12624.84</v>
      </c>
      <c r="F26" s="25">
        <f>D26*F27/100</f>
        <v>12751.088400000001</v>
      </c>
      <c r="G26" s="25">
        <f t="shared" ref="G26:M26" si="2">D26*G27/100</f>
        <v>12877.336799999999</v>
      </c>
      <c r="H26" s="25">
        <f t="shared" si="2"/>
        <v>12877.336799999999</v>
      </c>
      <c r="I26" s="25">
        <f t="shared" si="2"/>
        <v>13133.621052</v>
      </c>
      <c r="J26" s="25">
        <f t="shared" si="2"/>
        <v>13392.430272</v>
      </c>
      <c r="K26" s="25">
        <f t="shared" si="2"/>
        <v>13263.656903999999</v>
      </c>
      <c r="L26" s="26">
        <f t="shared" si="2"/>
        <v>13790.302104599999</v>
      </c>
      <c r="M26" s="26">
        <f t="shared" si="2"/>
        <v>14195.97608832</v>
      </c>
      <c r="N26" s="4">
        <f>K26*N27/100</f>
        <v>13568.721012791999</v>
      </c>
      <c r="O26" s="4">
        <f>L26*P27/100</f>
        <v>14272.962678260999</v>
      </c>
      <c r="P26" s="4">
        <f>M26*P27/100</f>
        <v>14692.835251411199</v>
      </c>
      <c r="Q26" s="4">
        <f>N26*Q27/100</f>
        <v>14016.488806214134</v>
      </c>
      <c r="R26" s="4">
        <f>O26*R27/100</f>
        <v>14886.700073426222</v>
      </c>
      <c r="S26" s="4">
        <f>P26*S27/100</f>
        <v>15354.012837724704</v>
      </c>
    </row>
    <row r="27" spans="1:19" s="5" customFormat="1" ht="53.25" customHeight="1" x14ac:dyDescent="0.3">
      <c r="A27" s="4" t="s">
        <v>62</v>
      </c>
      <c r="B27" s="4" t="s">
        <v>21</v>
      </c>
      <c r="C27" s="1">
        <v>118.4</v>
      </c>
      <c r="D27" s="1">
        <v>90</v>
      </c>
      <c r="E27" s="1">
        <v>100</v>
      </c>
      <c r="F27" s="1">
        <v>101</v>
      </c>
      <c r="G27" s="1">
        <v>102</v>
      </c>
      <c r="H27" s="1">
        <v>102</v>
      </c>
      <c r="I27" s="1">
        <v>103</v>
      </c>
      <c r="J27" s="1">
        <v>104</v>
      </c>
      <c r="K27" s="1">
        <v>103</v>
      </c>
      <c r="L27" s="27">
        <v>105</v>
      </c>
      <c r="M27" s="27">
        <v>106</v>
      </c>
      <c r="N27" s="4">
        <v>102.3</v>
      </c>
      <c r="O27" s="4">
        <v>103.3</v>
      </c>
      <c r="P27" s="4">
        <v>103.5</v>
      </c>
      <c r="Q27" s="4">
        <v>103.3</v>
      </c>
      <c r="R27" s="4">
        <v>104.3</v>
      </c>
      <c r="S27" s="4">
        <v>104.5</v>
      </c>
    </row>
    <row r="28" spans="1:19" s="5" customFormat="1" ht="45.75" customHeight="1" x14ac:dyDescent="0.3">
      <c r="A28" s="47" t="s">
        <v>31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9"/>
    </row>
    <row r="29" spans="1:19" s="5" customFormat="1" ht="96" customHeight="1" x14ac:dyDescent="0.3">
      <c r="A29" s="4" t="s">
        <v>61</v>
      </c>
      <c r="B29" s="4" t="s">
        <v>79</v>
      </c>
      <c r="C29" s="1">
        <v>1072.8</v>
      </c>
      <c r="D29" s="1">
        <f>C29*D30/100</f>
        <v>997.70399999999995</v>
      </c>
      <c r="E29" s="1">
        <f>D29*E30/100</f>
        <v>947.8187999999999</v>
      </c>
      <c r="F29" s="1">
        <f>D29*F30/100</f>
        <v>1000.6971119999999</v>
      </c>
      <c r="G29" s="1">
        <f t="shared" ref="G29:M29" si="3">D29*G30/100</f>
        <v>1030.628232</v>
      </c>
      <c r="H29" s="1">
        <f t="shared" si="3"/>
        <v>947.8187999999999</v>
      </c>
      <c r="I29" s="1">
        <f t="shared" si="3"/>
        <v>1040.7249964800001</v>
      </c>
      <c r="J29" s="1">
        <f t="shared" si="3"/>
        <v>1071.8533612799999</v>
      </c>
      <c r="K29" s="1">
        <f t="shared" si="3"/>
        <v>962.03608199999985</v>
      </c>
      <c r="L29" s="27">
        <f t="shared" si="3"/>
        <v>1092.761246304</v>
      </c>
      <c r="M29" s="27">
        <f t="shared" si="3"/>
        <v>1125.446029344</v>
      </c>
      <c r="N29" s="4">
        <f t="shared" ref="N29:S29" si="4">K29*N30/100</f>
        <v>971.65644281999982</v>
      </c>
      <c r="O29" s="4">
        <f t="shared" si="4"/>
        <v>1136.4716961561601</v>
      </c>
      <c r="P29" s="4">
        <f t="shared" si="4"/>
        <v>1170.4638705177599</v>
      </c>
      <c r="Q29" s="4">
        <f t="shared" si="4"/>
        <v>1000.8061361045999</v>
      </c>
      <c r="R29" s="4">
        <f t="shared" si="4"/>
        <v>1204.6599979255298</v>
      </c>
      <c r="S29" s="4">
        <f t="shared" si="4"/>
        <v>1240.6917027488255</v>
      </c>
    </row>
    <row r="30" spans="1:19" s="5" customFormat="1" ht="90.75" customHeight="1" x14ac:dyDescent="0.3">
      <c r="A30" s="4" t="s">
        <v>63</v>
      </c>
      <c r="B30" s="4" t="s">
        <v>21</v>
      </c>
      <c r="C30" s="1">
        <v>121.8</v>
      </c>
      <c r="D30" s="1">
        <v>93</v>
      </c>
      <c r="E30" s="1">
        <v>95</v>
      </c>
      <c r="F30" s="1">
        <v>100.3</v>
      </c>
      <c r="G30" s="1">
        <v>103.3</v>
      </c>
      <c r="H30" s="1">
        <v>100</v>
      </c>
      <c r="I30" s="1">
        <v>104</v>
      </c>
      <c r="J30" s="1">
        <v>104</v>
      </c>
      <c r="K30" s="1">
        <v>101.5</v>
      </c>
      <c r="L30" s="27">
        <v>105</v>
      </c>
      <c r="M30" s="27">
        <v>105</v>
      </c>
      <c r="N30" s="4">
        <v>101</v>
      </c>
      <c r="O30" s="4">
        <v>104</v>
      </c>
      <c r="P30" s="4">
        <v>104</v>
      </c>
      <c r="Q30" s="4">
        <v>103</v>
      </c>
      <c r="R30" s="4">
        <v>106</v>
      </c>
      <c r="S30" s="4">
        <v>106</v>
      </c>
    </row>
    <row r="31" spans="1:19" s="5" customFormat="1" ht="44.25" customHeight="1" x14ac:dyDescent="0.3">
      <c r="A31" s="47" t="s">
        <v>32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9"/>
    </row>
    <row r="32" spans="1:19" s="5" customFormat="1" ht="105" customHeight="1" x14ac:dyDescent="0.3">
      <c r="A32" s="4" t="s">
        <v>57</v>
      </c>
      <c r="B32" s="4" t="s">
        <v>79</v>
      </c>
      <c r="C32" s="1">
        <v>636.1</v>
      </c>
      <c r="D32" s="1">
        <f>C32*D33/100</f>
        <v>686.98800000000006</v>
      </c>
      <c r="E32" s="1">
        <f>D32*E33/100</f>
        <v>686.98800000000006</v>
      </c>
      <c r="F32" s="1">
        <f>D32*F33/100</f>
        <v>708.97161600000004</v>
      </c>
      <c r="G32" s="1">
        <f t="shared" ref="G32:M32" si="5">D32*G33/100</f>
        <v>715.84149600000001</v>
      </c>
      <c r="H32" s="1">
        <f t="shared" si="5"/>
        <v>696.60583200000008</v>
      </c>
      <c r="I32" s="1">
        <f t="shared" si="5"/>
        <v>737.33048064000002</v>
      </c>
      <c r="J32" s="1">
        <f t="shared" si="5"/>
        <v>751.63357080000003</v>
      </c>
      <c r="K32" s="1">
        <f t="shared" si="5"/>
        <v>707.05491948000008</v>
      </c>
      <c r="L32" s="27">
        <f t="shared" si="5"/>
        <v>774.19700467200005</v>
      </c>
      <c r="M32" s="27">
        <f t="shared" si="5"/>
        <v>796.73158504799994</v>
      </c>
      <c r="N32" s="4">
        <f t="shared" ref="N32:S32" si="6">K32*N33/100</f>
        <v>728.26656706440019</v>
      </c>
      <c r="O32" s="4">
        <f t="shared" si="6"/>
        <v>812.90685490560008</v>
      </c>
      <c r="P32" s="4">
        <f t="shared" si="6"/>
        <v>852.50279600135991</v>
      </c>
      <c r="Q32" s="4">
        <f t="shared" si="6"/>
        <v>757.39722974697622</v>
      </c>
      <c r="R32" s="4">
        <f t="shared" si="6"/>
        <v>869.81033474899198</v>
      </c>
      <c r="S32" s="4">
        <f t="shared" si="6"/>
        <v>920.70301968146873</v>
      </c>
    </row>
    <row r="33" spans="1:20" s="5" customFormat="1" ht="115.5" customHeight="1" x14ac:dyDescent="0.3">
      <c r="A33" s="4" t="s">
        <v>80</v>
      </c>
      <c r="B33" s="4" t="s">
        <v>21</v>
      </c>
      <c r="C33" s="1">
        <v>164.7</v>
      </c>
      <c r="D33" s="1">
        <v>108</v>
      </c>
      <c r="E33" s="1">
        <v>100</v>
      </c>
      <c r="F33" s="1">
        <v>103.2</v>
      </c>
      <c r="G33" s="1">
        <v>104.2</v>
      </c>
      <c r="H33" s="1">
        <v>101.4</v>
      </c>
      <c r="I33" s="1">
        <v>104</v>
      </c>
      <c r="J33" s="1">
        <v>105</v>
      </c>
      <c r="K33" s="1">
        <v>101.5</v>
      </c>
      <c r="L33" s="27">
        <v>105</v>
      </c>
      <c r="M33" s="27">
        <v>106</v>
      </c>
      <c r="N33" s="4">
        <v>103</v>
      </c>
      <c r="O33" s="4">
        <v>105</v>
      </c>
      <c r="P33" s="4">
        <v>107</v>
      </c>
      <c r="Q33" s="4">
        <v>104</v>
      </c>
      <c r="R33" s="4">
        <v>107</v>
      </c>
      <c r="S33" s="4">
        <v>108</v>
      </c>
    </row>
    <row r="34" spans="1:20" s="5" customFormat="1" ht="18.75" x14ac:dyDescent="0.3">
      <c r="A34" s="6" t="s">
        <v>52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2"/>
    </row>
    <row r="35" spans="1:20" s="5" customFormat="1" ht="39.75" customHeight="1" x14ac:dyDescent="0.3">
      <c r="A35" s="4" t="s">
        <v>0</v>
      </c>
      <c r="B35" s="4" t="s">
        <v>81</v>
      </c>
      <c r="C35" s="1">
        <f>C37+C39</f>
        <v>11386.6</v>
      </c>
      <c r="D35" s="1">
        <f>D37+D39</f>
        <v>11955.930000000002</v>
      </c>
      <c r="E35" s="1">
        <f t="shared" ref="E35:M35" si="7">E37+E39</f>
        <v>12101.418000000001</v>
      </c>
      <c r="F35" s="1">
        <f t="shared" si="7"/>
        <v>12220.977300000002</v>
      </c>
      <c r="G35" s="1">
        <f t="shared" si="7"/>
        <v>12340.536600000001</v>
      </c>
      <c r="H35" s="1">
        <f t="shared" si="7"/>
        <v>12248.879454000002</v>
      </c>
      <c r="I35" s="1">
        <f t="shared" si="7"/>
        <v>12492.103407000002</v>
      </c>
      <c r="J35" s="1">
        <f t="shared" si="7"/>
        <v>12614.313180000001</v>
      </c>
      <c r="K35" s="1">
        <f t="shared" si="7"/>
        <v>12520.833262560001</v>
      </c>
      <c r="L35" s="1">
        <f t="shared" si="7"/>
        <v>12741.945475140003</v>
      </c>
      <c r="M35" s="1">
        <f t="shared" si="7"/>
        <v>12894.374267040001</v>
      </c>
      <c r="N35" s="1">
        <f t="shared" ref="N35:S35" si="8">N37+N39</f>
        <v>12378</v>
      </c>
      <c r="O35" s="1">
        <f t="shared" si="8"/>
        <v>13579.2</v>
      </c>
      <c r="P35" s="1">
        <f t="shared" si="8"/>
        <v>13834.1</v>
      </c>
      <c r="Q35" s="1">
        <f t="shared" si="8"/>
        <v>13832</v>
      </c>
      <c r="R35" s="1">
        <f t="shared" si="8"/>
        <v>14232</v>
      </c>
      <c r="S35" s="1">
        <f t="shared" si="8"/>
        <v>14804.2</v>
      </c>
    </row>
    <row r="36" spans="1:20" s="5" customFormat="1" ht="84" customHeight="1" x14ac:dyDescent="0.3">
      <c r="A36" s="4" t="s">
        <v>1</v>
      </c>
      <c r="B36" s="4" t="s">
        <v>43</v>
      </c>
      <c r="C36" s="1">
        <v>105.2</v>
      </c>
      <c r="D36" s="1">
        <f>D35/107.6%/C35*100</f>
        <v>97.583643122676605</v>
      </c>
      <c r="E36" s="1">
        <f>E35/105.1%/D35*100</f>
        <v>96.30529871667305</v>
      </c>
      <c r="F36" s="1">
        <f>F35/105.6%/D35*100</f>
        <v>96.796277415931215</v>
      </c>
      <c r="G36" s="1">
        <f>G35/105.6%/E35*100</f>
        <v>96.568139407674806</v>
      </c>
      <c r="H36" s="1">
        <f>H35/104%/E35*100</f>
        <v>97.325525866218584</v>
      </c>
      <c r="I36" s="1">
        <f>I35/104.3%/F35*100</f>
        <v>98.004343705927994</v>
      </c>
      <c r="J36" s="1">
        <f>J35/104.3%/G35*100</f>
        <v>98.004328272078538</v>
      </c>
      <c r="K36" s="1">
        <f>K35/105.2%/H35*100</f>
        <v>97.16752298677207</v>
      </c>
      <c r="L36" s="27">
        <f>L35/103.8%/H35*100</f>
        <v>100.21714543324775</v>
      </c>
      <c r="M36" s="27">
        <f>M35/103.8%/I35*100</f>
        <v>99.441426945820069</v>
      </c>
      <c r="N36" s="4">
        <v>100.5</v>
      </c>
      <c r="O36" s="4">
        <v>100.3</v>
      </c>
      <c r="P36" s="4">
        <v>101.1</v>
      </c>
      <c r="Q36" s="4">
        <v>101.5</v>
      </c>
      <c r="R36" s="4">
        <v>102.5</v>
      </c>
      <c r="S36" s="4">
        <v>103</v>
      </c>
    </row>
    <row r="37" spans="1:20" s="5" customFormat="1" ht="36" customHeight="1" x14ac:dyDescent="0.3">
      <c r="A37" s="4" t="s">
        <v>2</v>
      </c>
      <c r="B37" s="4" t="s">
        <v>81</v>
      </c>
      <c r="C37" s="1">
        <v>8917.2000000000007</v>
      </c>
      <c r="D37" s="1">
        <f>C37/100*105</f>
        <v>9363.0600000000013</v>
      </c>
      <c r="E37" s="1">
        <f>D37/100*101</f>
        <v>9456.6906000000017</v>
      </c>
      <c r="F37" s="1">
        <f>D37/100*102</f>
        <v>9550.3212000000021</v>
      </c>
      <c r="G37" s="1">
        <f>D37/100*103</f>
        <v>9643.9518000000007</v>
      </c>
      <c r="H37" s="1">
        <f>E37/100*101</f>
        <v>9551.2575060000017</v>
      </c>
      <c r="I37" s="1">
        <f>F37/100*102</f>
        <v>9741.3276240000014</v>
      </c>
      <c r="J37" s="1">
        <f>G37/100*102</f>
        <v>9836.830836000001</v>
      </c>
      <c r="K37" s="1">
        <f>H37/100*102</f>
        <v>9742.2826561200018</v>
      </c>
      <c r="L37" s="27">
        <f>I37/100*102</f>
        <v>9936.1541764800022</v>
      </c>
      <c r="M37" s="27">
        <f>J37/100*102</f>
        <v>10033.567452720001</v>
      </c>
      <c r="N37" s="4">
        <v>9508</v>
      </c>
      <c r="O37" s="4">
        <v>10629.2</v>
      </c>
      <c r="P37" s="4">
        <v>10684.1</v>
      </c>
      <c r="Q37" s="4">
        <v>10852</v>
      </c>
      <c r="R37" s="4">
        <v>11032</v>
      </c>
      <c r="S37" s="4">
        <v>11554.2</v>
      </c>
    </row>
    <row r="38" spans="1:20" s="5" customFormat="1" ht="84.75" customHeight="1" x14ac:dyDescent="0.3">
      <c r="A38" s="4" t="s">
        <v>3</v>
      </c>
      <c r="B38" s="4" t="s">
        <v>43</v>
      </c>
      <c r="C38" s="1">
        <v>99.6</v>
      </c>
      <c r="D38" s="1">
        <f>D37/105.5%/C37*100</f>
        <v>99.52606635071092</v>
      </c>
      <c r="E38" s="1">
        <f>E37/105.8%/D37*100</f>
        <v>95.463137996219288</v>
      </c>
      <c r="F38" s="1">
        <f>F37/106.3%/D37*100</f>
        <v>95.95484477892758</v>
      </c>
      <c r="G38" s="1">
        <f>G37/106.3%/E37*100</f>
        <v>95.93621638739603</v>
      </c>
      <c r="H38" s="1">
        <f>H37/104.3%/E37*100</f>
        <v>96.83604985618409</v>
      </c>
      <c r="I38" s="1">
        <f>I37/104.5%/F37*100</f>
        <v>97.607655502392348</v>
      </c>
      <c r="J38" s="1">
        <f>J37/104.5%/G37*100</f>
        <v>97.607655502392362</v>
      </c>
      <c r="K38" s="1">
        <f>K37/105.9%/H37*100</f>
        <v>96.31728045325778</v>
      </c>
      <c r="L38" s="1">
        <f>L37/104%/H37*100</f>
        <v>100.02865480759806</v>
      </c>
      <c r="M38" s="1">
        <f>M37/104%/I37*100</f>
        <v>99.038461538461533</v>
      </c>
      <c r="N38" s="4">
        <v>100.5</v>
      </c>
      <c r="O38" s="4">
        <v>100</v>
      </c>
      <c r="P38" s="4">
        <v>101</v>
      </c>
      <c r="Q38" s="4">
        <v>100.4</v>
      </c>
      <c r="R38" s="4">
        <v>99</v>
      </c>
      <c r="S38" s="4">
        <v>102</v>
      </c>
    </row>
    <row r="39" spans="1:20" s="5" customFormat="1" ht="36" customHeight="1" x14ac:dyDescent="0.3">
      <c r="A39" s="4" t="s">
        <v>4</v>
      </c>
      <c r="B39" s="4" t="s">
        <v>81</v>
      </c>
      <c r="C39" s="1">
        <v>2469.4</v>
      </c>
      <c r="D39" s="1">
        <f>C39/100*105</f>
        <v>2592.8700000000003</v>
      </c>
      <c r="E39" s="1">
        <f>D39/100*102</f>
        <v>2644.7274000000002</v>
      </c>
      <c r="F39" s="1">
        <f>D39/100*103</f>
        <v>2670.6561000000002</v>
      </c>
      <c r="G39" s="1">
        <f>D39/100*104</f>
        <v>2696.5848000000001</v>
      </c>
      <c r="H39" s="1">
        <f>E39/100*102</f>
        <v>2697.6219480000004</v>
      </c>
      <c r="I39" s="1">
        <f>F39/100*103</f>
        <v>2750.775783</v>
      </c>
      <c r="J39" s="1">
        <f>G39/100*103</f>
        <v>2777.482344</v>
      </c>
      <c r="K39" s="1">
        <f>H39/100*103</f>
        <v>2778.5506064400006</v>
      </c>
      <c r="L39" s="1">
        <f>I39/100*102</f>
        <v>2805.7912986599999</v>
      </c>
      <c r="M39" s="1">
        <f>J39/100*103</f>
        <v>2860.8068143199998</v>
      </c>
      <c r="N39" s="1">
        <v>2870</v>
      </c>
      <c r="O39" s="1">
        <v>2950</v>
      </c>
      <c r="P39" s="1">
        <v>3150</v>
      </c>
      <c r="Q39" s="1">
        <v>2980</v>
      </c>
      <c r="R39" s="1">
        <v>3200</v>
      </c>
      <c r="S39" s="1">
        <v>3250</v>
      </c>
    </row>
    <row r="40" spans="1:20" s="5" customFormat="1" ht="80.25" customHeight="1" x14ac:dyDescent="0.3">
      <c r="A40" s="4" t="s">
        <v>5</v>
      </c>
      <c r="B40" s="4" t="s">
        <v>43</v>
      </c>
      <c r="C40" s="1">
        <v>127.5</v>
      </c>
      <c r="D40" s="1">
        <f>D39/110.2%/C39*100</f>
        <v>95.281306715063536</v>
      </c>
      <c r="E40" s="1">
        <f>E39/104.2%/D39*100</f>
        <v>97.888675623800381</v>
      </c>
      <c r="F40" s="1">
        <f>F39/104.7%/D39*100</f>
        <v>98.37631327602675</v>
      </c>
      <c r="G40" s="1">
        <f>G39/104.7%/E39*100</f>
        <v>97.383748150645161</v>
      </c>
      <c r="H40" s="1">
        <f>H39/103.7%/E39*100</f>
        <v>98.360655737704931</v>
      </c>
      <c r="I40" s="1">
        <f>I39/104%/F39*100</f>
        <v>99.038461538461533</v>
      </c>
      <c r="J40" s="1">
        <f>J39/104%/G39*100</f>
        <v>99.038461538461519</v>
      </c>
      <c r="K40" s="1">
        <f>K39/104.3%/H39*100</f>
        <v>98.75359539789072</v>
      </c>
      <c r="L40" s="1">
        <f>L39/103.5%/H39*100</f>
        <v>100.4925641754286</v>
      </c>
      <c r="M40" s="1">
        <f>M39/103.5%/I39*100</f>
        <v>100.48309178743962</v>
      </c>
      <c r="N40" s="4">
        <v>100.5</v>
      </c>
      <c r="O40" s="4">
        <v>100.8</v>
      </c>
      <c r="P40" s="4">
        <v>101</v>
      </c>
      <c r="Q40" s="4">
        <v>100.4</v>
      </c>
      <c r="R40" s="4">
        <v>100.8</v>
      </c>
      <c r="S40" s="4">
        <v>102</v>
      </c>
    </row>
    <row r="41" spans="1:20" s="5" customFormat="1" ht="18.75" customHeight="1" x14ac:dyDescent="0.3">
      <c r="A41" s="47" t="s">
        <v>64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9"/>
    </row>
    <row r="42" spans="1:20" s="5" customFormat="1" ht="18.75" x14ac:dyDescent="0.3">
      <c r="A42" s="4" t="s">
        <v>8</v>
      </c>
      <c r="B42" s="4" t="s">
        <v>82</v>
      </c>
      <c r="C42" s="1">
        <v>7165</v>
      </c>
      <c r="D42" s="1">
        <f>C42*110%</f>
        <v>7881.5000000000009</v>
      </c>
      <c r="E42" s="1">
        <f>D42*99%</f>
        <v>7802.6850000000004</v>
      </c>
      <c r="F42" s="1">
        <f>D42*105%</f>
        <v>8275.5750000000007</v>
      </c>
      <c r="G42" s="1">
        <f>D42*106%</f>
        <v>8354.3900000000012</v>
      </c>
      <c r="H42" s="1">
        <f>E42*101%</f>
        <v>7880.7118500000006</v>
      </c>
      <c r="I42" s="1">
        <f>F42*105%</f>
        <v>8689.353750000002</v>
      </c>
      <c r="J42" s="1">
        <f>G42*105%</f>
        <v>8772.1095000000023</v>
      </c>
      <c r="K42" s="1">
        <f>H42*101%</f>
        <v>7959.5189685000005</v>
      </c>
      <c r="L42" s="1">
        <f>I42*105%</f>
        <v>9123.8214375000025</v>
      </c>
      <c r="M42" s="1">
        <f>J42*105%</f>
        <v>9210.7149750000026</v>
      </c>
      <c r="N42" s="4">
        <v>7523.6</v>
      </c>
      <c r="O42" s="4">
        <v>7904.1</v>
      </c>
      <c r="P42" s="4">
        <v>8156.3</v>
      </c>
      <c r="Q42" s="4">
        <v>7624.5</v>
      </c>
      <c r="R42" s="4">
        <v>8299.2999999999993</v>
      </c>
      <c r="S42" s="4">
        <v>8356.4</v>
      </c>
    </row>
    <row r="43" spans="1:20" s="5" customFormat="1" ht="72.75" customHeight="1" x14ac:dyDescent="0.3">
      <c r="A43" s="4" t="s">
        <v>44</v>
      </c>
      <c r="B43" s="4" t="s">
        <v>43</v>
      </c>
      <c r="C43" s="1">
        <v>106.8</v>
      </c>
      <c r="D43" s="1">
        <f>D42/108%/C42*100</f>
        <v>101.85185185185186</v>
      </c>
      <c r="E43" s="1">
        <f>E42/105.3%/D42*100</f>
        <v>94.01709401709401</v>
      </c>
      <c r="F43" s="1">
        <f>F42/105.5%/D42*100</f>
        <v>99.526066350710892</v>
      </c>
      <c r="G43" s="1">
        <f>G42/105.5%/D42*100</f>
        <v>100.47393364928911</v>
      </c>
      <c r="H43" s="1">
        <f>H42/104.2%/E42*100</f>
        <v>96.928982725527817</v>
      </c>
      <c r="I43" s="1">
        <f>I42/104.5%/F42*100</f>
        <v>100.47846889952157</v>
      </c>
      <c r="J43" s="1">
        <f>J42/104.5%/G42*100</f>
        <v>100.47846889952154</v>
      </c>
      <c r="K43" s="1">
        <f>K42/105.4%/H42*100</f>
        <v>95.825426944971525</v>
      </c>
      <c r="L43" s="27">
        <f>L42/104.1%/I42*100</f>
        <v>100.86455331412105</v>
      </c>
      <c r="M43" s="27">
        <f>M42/104.1%/J42*100</f>
        <v>100.86455331412105</v>
      </c>
      <c r="N43" s="4">
        <v>98</v>
      </c>
      <c r="O43" s="4">
        <v>99</v>
      </c>
      <c r="P43" s="4">
        <v>101</v>
      </c>
      <c r="Q43" s="4">
        <v>99</v>
      </c>
      <c r="R43" s="4">
        <v>101</v>
      </c>
      <c r="S43" s="4">
        <v>102</v>
      </c>
    </row>
    <row r="44" spans="1:20" s="5" customFormat="1" ht="36.75" customHeight="1" x14ac:dyDescent="0.3">
      <c r="A44" s="4" t="s">
        <v>9</v>
      </c>
      <c r="B44" s="4" t="s">
        <v>82</v>
      </c>
      <c r="C44" s="1">
        <v>2718.4</v>
      </c>
      <c r="D44" s="1">
        <f>C44*106%</f>
        <v>2881.5040000000004</v>
      </c>
      <c r="E44" s="1">
        <f>D44*101%</f>
        <v>2910.3190400000003</v>
      </c>
      <c r="F44" s="1">
        <f>D44*104%</f>
        <v>2996.7641600000006</v>
      </c>
      <c r="G44" s="1">
        <f>D44*105%</f>
        <v>3025.5792000000006</v>
      </c>
      <c r="H44" s="1">
        <f>E44*101%</f>
        <v>2939.4222304000004</v>
      </c>
      <c r="I44" s="1">
        <f>F44*103%</f>
        <v>3086.6670848000008</v>
      </c>
      <c r="J44" s="1">
        <f>G44*103%</f>
        <v>3116.3465760000008</v>
      </c>
      <c r="K44" s="1">
        <f>H44*101%</f>
        <v>2968.8164527040003</v>
      </c>
      <c r="L44" s="27">
        <f>I44*103%</f>
        <v>3179.2670973440008</v>
      </c>
      <c r="M44" s="27">
        <f>J44*103%</f>
        <v>3209.8369732800011</v>
      </c>
      <c r="N44" s="4">
        <v>3154.2</v>
      </c>
      <c r="O44" s="4">
        <v>3224.4</v>
      </c>
      <c r="P44" s="4">
        <v>3451.2</v>
      </c>
      <c r="Q44" s="4">
        <v>3251.3</v>
      </c>
      <c r="R44" s="4">
        <v>3450.1</v>
      </c>
      <c r="S44" s="4">
        <v>3551.3</v>
      </c>
    </row>
    <row r="45" spans="1:20" s="5" customFormat="1" ht="84.75" customHeight="1" x14ac:dyDescent="0.3">
      <c r="A45" s="4" t="s">
        <v>45</v>
      </c>
      <c r="B45" s="4" t="s">
        <v>43</v>
      </c>
      <c r="C45" s="1">
        <v>99.2</v>
      </c>
      <c r="D45" s="1">
        <f>D44/108.3%/C44*100</f>
        <v>97.876269621421983</v>
      </c>
      <c r="E45" s="1">
        <f>E44/107.5%/D44*100</f>
        <v>93.953488372093034</v>
      </c>
      <c r="F45" s="1">
        <f>F44/107.9%/D44*100</f>
        <v>96.385542168674704</v>
      </c>
      <c r="G45" s="1">
        <f>G44/107.9%/D44*100</f>
        <v>97.312326227988905</v>
      </c>
      <c r="H45" s="1">
        <f>H44/104%/E44*100</f>
        <v>97.115384615384613</v>
      </c>
      <c r="I45" s="1">
        <f>I44/104.5%/F44*100</f>
        <v>98.564593301435423</v>
      </c>
      <c r="J45" s="1">
        <f>J44/104.5%/G44*100</f>
        <v>98.564593301435409</v>
      </c>
      <c r="K45" s="1">
        <f>K44/105%/H44*100</f>
        <v>96.19047619047619</v>
      </c>
      <c r="L45" s="27">
        <f>L44/104.2%/I44*100</f>
        <v>98.848368522072931</v>
      </c>
      <c r="M45" s="27">
        <f>M44/104.2%/J44*100</f>
        <v>98.848368522072931</v>
      </c>
      <c r="N45" s="4">
        <v>99</v>
      </c>
      <c r="O45" s="4">
        <v>100.5</v>
      </c>
      <c r="P45" s="4">
        <v>101</v>
      </c>
      <c r="Q45" s="4">
        <v>100</v>
      </c>
      <c r="R45" s="4">
        <v>101</v>
      </c>
      <c r="S45" s="4">
        <v>102</v>
      </c>
    </row>
    <row r="46" spans="1:20" s="5" customFormat="1" ht="33" customHeight="1" x14ac:dyDescent="0.3">
      <c r="A46" s="47" t="s">
        <v>53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9"/>
    </row>
    <row r="47" spans="1:20" s="5" customFormat="1" ht="76.5" customHeight="1" x14ac:dyDescent="0.3">
      <c r="A47" s="4" t="s">
        <v>37</v>
      </c>
      <c r="B47" s="4" t="s">
        <v>10</v>
      </c>
      <c r="C47" s="32">
        <v>543</v>
      </c>
      <c r="D47" s="32">
        <v>560</v>
      </c>
      <c r="E47" s="32">
        <v>545</v>
      </c>
      <c r="F47" s="32">
        <v>563</v>
      </c>
      <c r="G47" s="32">
        <v>563</v>
      </c>
      <c r="H47" s="32">
        <v>546</v>
      </c>
      <c r="I47" s="32">
        <v>565</v>
      </c>
      <c r="J47" s="32">
        <v>565</v>
      </c>
      <c r="K47" s="32">
        <v>548</v>
      </c>
      <c r="L47" s="31">
        <v>570</v>
      </c>
      <c r="M47" s="31">
        <v>570</v>
      </c>
      <c r="N47" s="21">
        <v>570</v>
      </c>
      <c r="O47" s="21">
        <v>580</v>
      </c>
      <c r="P47" s="21">
        <v>585</v>
      </c>
      <c r="Q47" s="21">
        <v>585</v>
      </c>
      <c r="R47" s="21">
        <v>590</v>
      </c>
      <c r="S47" s="21">
        <v>595</v>
      </c>
      <c r="T47" s="2"/>
    </row>
    <row r="48" spans="1:20" s="5" customFormat="1" ht="19.5" customHeight="1" x14ac:dyDescent="0.3">
      <c r="A48" s="47" t="s">
        <v>54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9"/>
    </row>
    <row r="49" spans="1:19" s="5" customFormat="1" ht="66" customHeight="1" x14ac:dyDescent="0.3">
      <c r="A49" s="4" t="s">
        <v>65</v>
      </c>
      <c r="B49" s="4" t="s">
        <v>79</v>
      </c>
      <c r="C49" s="28">
        <f>C51+4247.4</f>
        <v>4298</v>
      </c>
      <c r="D49" s="28">
        <f>D51+6035.4</f>
        <v>6080.4</v>
      </c>
      <c r="E49" s="28">
        <f>E51+6000</f>
        <v>6045</v>
      </c>
      <c r="F49" s="29">
        <f>F51+6603.86</f>
        <v>6655.0599999999995</v>
      </c>
      <c r="G49" s="29">
        <f>G51+6603.86</f>
        <v>6655.16</v>
      </c>
      <c r="H49" s="28">
        <f>H51+6135</f>
        <v>6178</v>
      </c>
      <c r="I49" s="29">
        <f>I51+7273.5</f>
        <v>7324.9</v>
      </c>
      <c r="J49" s="29">
        <f>J51+7273.5</f>
        <v>7325</v>
      </c>
      <c r="K49" s="28">
        <f>K51+6135</f>
        <v>6180</v>
      </c>
      <c r="L49" s="30">
        <f>L51+7273.5</f>
        <v>7325.1</v>
      </c>
      <c r="M49" s="30">
        <f>M51+7273.5</f>
        <v>7325.2</v>
      </c>
      <c r="N49" s="4">
        <f>K49*102%</f>
        <v>6303.6</v>
      </c>
      <c r="O49" s="4">
        <f>M49*103%</f>
        <v>7544.9560000000001</v>
      </c>
      <c r="P49" s="4">
        <f>M49*104%</f>
        <v>7618.2079999999996</v>
      </c>
      <c r="Q49" s="4">
        <f>N49*101%</f>
        <v>6366.6360000000004</v>
      </c>
      <c r="R49" s="4">
        <f>O49*105%</f>
        <v>7922.2038000000002</v>
      </c>
      <c r="S49" s="4">
        <f>P49*106%</f>
        <v>8075.3004799999999</v>
      </c>
    </row>
    <row r="50" spans="1:19" s="5" customFormat="1" ht="54.75" customHeight="1" x14ac:dyDescent="0.3">
      <c r="A50" s="4" t="s">
        <v>73</v>
      </c>
      <c r="B50" s="4" t="s">
        <v>74</v>
      </c>
      <c r="C50" s="28">
        <v>104.9</v>
      </c>
      <c r="D50" s="29">
        <f>D49/109.1%/C49*100</f>
        <v>129.67044122156872</v>
      </c>
      <c r="E50" s="29">
        <f>E49/107%/D49*100</f>
        <v>92.913833140588991</v>
      </c>
      <c r="F50" s="29">
        <f>F49/107.8%/D49*100</f>
        <v>101.53156118647111</v>
      </c>
      <c r="G50" s="29">
        <f>G49/107.8%/D49*100</f>
        <v>101.53308681600993</v>
      </c>
      <c r="H50" s="28">
        <f>H49/105.1%/E49*100</f>
        <v>97.24088051947848</v>
      </c>
      <c r="I50" s="29">
        <f>I49/105.3%/F49*100</f>
        <v>104.52528336163746</v>
      </c>
      <c r="J50" s="29">
        <f>J49/105.3%/G49*100</f>
        <v>104.52513973591356</v>
      </c>
      <c r="K50" s="28">
        <f>K49/105.5%/H49*100</f>
        <v>94.817415105426832</v>
      </c>
      <c r="L50" s="30">
        <f>L49/104.4%/I49*100</f>
        <v>95.788055950863878</v>
      </c>
      <c r="M50" s="30">
        <f>M49/104.4%/J49*100</f>
        <v>95.788055915159603</v>
      </c>
      <c r="N50" s="4">
        <v>97</v>
      </c>
      <c r="O50" s="4">
        <v>98</v>
      </c>
      <c r="P50" s="4">
        <v>98.9</v>
      </c>
      <c r="Q50" s="4">
        <v>99</v>
      </c>
      <c r="R50" s="4">
        <v>102</v>
      </c>
      <c r="S50" s="4">
        <v>103</v>
      </c>
    </row>
    <row r="51" spans="1:19" s="5" customFormat="1" ht="44.25" customHeight="1" x14ac:dyDescent="0.3">
      <c r="A51" s="4" t="s">
        <v>6</v>
      </c>
      <c r="B51" s="4" t="s">
        <v>66</v>
      </c>
      <c r="C51" s="1">
        <v>50.6</v>
      </c>
      <c r="D51" s="1">
        <v>45</v>
      </c>
      <c r="E51" s="1">
        <v>45</v>
      </c>
      <c r="F51" s="1">
        <v>51.2</v>
      </c>
      <c r="G51" s="1">
        <v>51.3</v>
      </c>
      <c r="H51" s="1">
        <v>43</v>
      </c>
      <c r="I51" s="1">
        <v>51.4</v>
      </c>
      <c r="J51" s="1">
        <v>51.5</v>
      </c>
      <c r="K51" s="1">
        <v>45</v>
      </c>
      <c r="L51" s="27">
        <v>51.6</v>
      </c>
      <c r="M51" s="27">
        <v>51.7</v>
      </c>
      <c r="N51" s="4">
        <v>47.5</v>
      </c>
      <c r="O51" s="4">
        <v>48</v>
      </c>
      <c r="P51" s="4">
        <v>49</v>
      </c>
      <c r="Q51" s="4">
        <v>48.5</v>
      </c>
      <c r="R51" s="4">
        <v>50</v>
      </c>
      <c r="S51" s="4">
        <v>52.3</v>
      </c>
    </row>
    <row r="52" spans="1:19" s="5" customFormat="1" ht="18.75" x14ac:dyDescent="0.3">
      <c r="A52" s="47" t="s">
        <v>67</v>
      </c>
      <c r="B52" s="48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48"/>
      <c r="O52" s="48"/>
      <c r="P52" s="48"/>
      <c r="Q52" s="48"/>
      <c r="R52" s="48"/>
      <c r="S52" s="49"/>
    </row>
    <row r="53" spans="1:19" s="5" customFormat="1" ht="57" customHeight="1" x14ac:dyDescent="0.3">
      <c r="A53" s="4" t="s">
        <v>22</v>
      </c>
      <c r="B53" s="34" t="s">
        <v>11</v>
      </c>
      <c r="C53" s="35">
        <v>15.5</v>
      </c>
      <c r="D53" s="35">
        <v>15.3</v>
      </c>
      <c r="E53" s="35">
        <v>15.2</v>
      </c>
      <c r="F53" s="35">
        <v>15.4</v>
      </c>
      <c r="G53" s="35">
        <v>15.4</v>
      </c>
      <c r="H53" s="35">
        <v>15.5</v>
      </c>
      <c r="I53" s="35">
        <v>15.6</v>
      </c>
      <c r="J53" s="35">
        <v>15.6</v>
      </c>
      <c r="K53" s="35">
        <v>15.6</v>
      </c>
      <c r="L53" s="35">
        <v>15.7</v>
      </c>
      <c r="M53" s="35">
        <v>15.7</v>
      </c>
      <c r="N53" s="4">
        <v>15.6</v>
      </c>
      <c r="O53" s="4">
        <v>15.7</v>
      </c>
      <c r="P53" s="4">
        <v>15.8</v>
      </c>
      <c r="Q53" s="4">
        <v>15.6</v>
      </c>
      <c r="R53" s="4">
        <v>15.8</v>
      </c>
      <c r="S53" s="4">
        <v>15.9</v>
      </c>
    </row>
    <row r="54" spans="1:19" s="8" customFormat="1" ht="66" customHeight="1" x14ac:dyDescent="0.3">
      <c r="A54" s="4" t="s">
        <v>39</v>
      </c>
      <c r="B54" s="34" t="s">
        <v>40</v>
      </c>
      <c r="C54" s="35">
        <v>39909.599999999999</v>
      </c>
      <c r="D54" s="35">
        <v>43900.6</v>
      </c>
      <c r="E54" s="35">
        <v>45217.599999999999</v>
      </c>
      <c r="F54" s="35">
        <v>46534.6</v>
      </c>
      <c r="G54" s="35">
        <v>46973.599999999999</v>
      </c>
      <c r="H54" s="35">
        <v>46619.3</v>
      </c>
      <c r="I54" s="35">
        <v>49326.7</v>
      </c>
      <c r="J54" s="35">
        <v>49792</v>
      </c>
      <c r="K54" s="35">
        <v>48251</v>
      </c>
      <c r="L54" s="35">
        <v>52286.3</v>
      </c>
      <c r="M54" s="35">
        <v>52779.5</v>
      </c>
      <c r="N54" s="4">
        <f t="shared" ref="N54:S54" si="9">K54*N55/100</f>
        <v>53076.1</v>
      </c>
      <c r="O54" s="4">
        <f t="shared" si="9"/>
        <v>58037.793000000005</v>
      </c>
      <c r="P54" s="4">
        <f t="shared" si="9"/>
        <v>59640.834999999999</v>
      </c>
      <c r="Q54" s="4">
        <f t="shared" si="9"/>
        <v>58383.71</v>
      </c>
      <c r="R54" s="4">
        <f t="shared" si="9"/>
        <v>64421.950230000009</v>
      </c>
      <c r="S54" s="4">
        <f t="shared" si="9"/>
        <v>68586.960249999989</v>
      </c>
    </row>
    <row r="55" spans="1:19" s="5" customFormat="1" ht="76.5" customHeight="1" x14ac:dyDescent="0.3">
      <c r="A55" s="4" t="s">
        <v>46</v>
      </c>
      <c r="B55" s="4" t="s">
        <v>38</v>
      </c>
      <c r="C55" s="1">
        <v>111</v>
      </c>
      <c r="D55" s="1">
        <v>110</v>
      </c>
      <c r="E55" s="1">
        <v>103</v>
      </c>
      <c r="F55" s="1">
        <v>106</v>
      </c>
      <c r="G55" s="1">
        <v>107</v>
      </c>
      <c r="H55" s="1">
        <v>103.1</v>
      </c>
      <c r="I55" s="1">
        <v>106</v>
      </c>
      <c r="J55" s="1">
        <v>106</v>
      </c>
      <c r="K55" s="1">
        <v>103.5</v>
      </c>
      <c r="L55" s="27">
        <v>106</v>
      </c>
      <c r="M55" s="27">
        <v>106</v>
      </c>
      <c r="N55" s="4">
        <v>110</v>
      </c>
      <c r="O55" s="4">
        <v>111</v>
      </c>
      <c r="P55" s="4">
        <v>113</v>
      </c>
      <c r="Q55" s="4">
        <v>110</v>
      </c>
      <c r="R55" s="4">
        <v>111</v>
      </c>
      <c r="S55" s="4">
        <v>115</v>
      </c>
    </row>
    <row r="56" spans="1:19" s="8" customFormat="1" ht="56.25" customHeight="1" x14ac:dyDescent="0.3">
      <c r="A56" s="4" t="s">
        <v>41</v>
      </c>
      <c r="B56" s="4" t="s">
        <v>81</v>
      </c>
      <c r="C56" s="1">
        <v>7417.2</v>
      </c>
      <c r="D56" s="1">
        <f>C56*D57%</f>
        <v>8158.92</v>
      </c>
      <c r="E56" s="1">
        <f>D56*E57%</f>
        <v>8566.866</v>
      </c>
      <c r="F56" s="1">
        <f>D56*F57%</f>
        <v>8811.633600000001</v>
      </c>
      <c r="G56" s="1">
        <f t="shared" ref="G56:M56" si="10">D56*G57%</f>
        <v>8893.2228000000014</v>
      </c>
      <c r="H56" s="1">
        <f t="shared" si="10"/>
        <v>9080.8779599999998</v>
      </c>
      <c r="I56" s="1">
        <f t="shared" si="10"/>
        <v>9604.6806240000024</v>
      </c>
      <c r="J56" s="1">
        <f t="shared" si="10"/>
        <v>9693.612852000002</v>
      </c>
      <c r="K56" s="1">
        <f t="shared" si="10"/>
        <v>9625.7306375999997</v>
      </c>
      <c r="L56" s="27">
        <f t="shared" si="10"/>
        <v>10469.101880160004</v>
      </c>
      <c r="M56" s="27">
        <f t="shared" si="10"/>
        <v>10566.038008680003</v>
      </c>
      <c r="N56" s="4">
        <f t="shared" ref="N56:S56" si="11">K56*N57/100</f>
        <v>10588.303701360001</v>
      </c>
      <c r="O56" s="4">
        <f t="shared" si="11"/>
        <v>11620.703086977603</v>
      </c>
      <c r="P56" s="4">
        <f t="shared" si="11"/>
        <v>11939.622949808403</v>
      </c>
      <c r="Q56" s="4">
        <f t="shared" si="11"/>
        <v>11647.134071496001</v>
      </c>
      <c r="R56" s="4">
        <f t="shared" si="11"/>
        <v>12898.980426545138</v>
      </c>
      <c r="S56" s="4">
        <f t="shared" si="11"/>
        <v>13730.566392279663</v>
      </c>
    </row>
    <row r="57" spans="1:19" s="5" customFormat="1" ht="51.75" customHeight="1" x14ac:dyDescent="0.3">
      <c r="A57" s="4" t="s">
        <v>42</v>
      </c>
      <c r="B57" s="4" t="s">
        <v>38</v>
      </c>
      <c r="C57" s="1">
        <v>111.7</v>
      </c>
      <c r="D57" s="1">
        <v>110</v>
      </c>
      <c r="E57" s="1">
        <v>105</v>
      </c>
      <c r="F57" s="1">
        <v>108</v>
      </c>
      <c r="G57" s="1">
        <v>109</v>
      </c>
      <c r="H57" s="1">
        <v>106</v>
      </c>
      <c r="I57" s="1">
        <v>109</v>
      </c>
      <c r="J57" s="1">
        <v>109</v>
      </c>
      <c r="K57" s="1">
        <v>106</v>
      </c>
      <c r="L57" s="27">
        <v>109</v>
      </c>
      <c r="M57" s="27">
        <v>109</v>
      </c>
      <c r="N57" s="4">
        <v>110</v>
      </c>
      <c r="O57" s="4">
        <v>111</v>
      </c>
      <c r="P57" s="4">
        <v>113</v>
      </c>
      <c r="Q57" s="4">
        <v>110</v>
      </c>
      <c r="R57" s="4">
        <v>111</v>
      </c>
      <c r="S57" s="4">
        <v>115</v>
      </c>
    </row>
    <row r="58" spans="1:19" s="5" customFormat="1" ht="48.75" customHeight="1" x14ac:dyDescent="0.3">
      <c r="A58" s="4" t="s">
        <v>12</v>
      </c>
      <c r="B58" s="4" t="s">
        <v>7</v>
      </c>
      <c r="C58" s="1">
        <v>0.4</v>
      </c>
      <c r="D58" s="1">
        <v>0.3</v>
      </c>
      <c r="E58" s="1">
        <v>0.5</v>
      </c>
      <c r="F58" s="1">
        <v>0.3</v>
      </c>
      <c r="G58" s="1">
        <v>0.3</v>
      </c>
      <c r="H58" s="1">
        <v>0.5</v>
      </c>
      <c r="I58" s="1">
        <v>0.24</v>
      </c>
      <c r="J58" s="1">
        <v>0.24</v>
      </c>
      <c r="K58" s="1">
        <v>0.4</v>
      </c>
      <c r="L58" s="27">
        <v>0.2</v>
      </c>
      <c r="M58" s="27">
        <v>0.2</v>
      </c>
      <c r="N58" s="27">
        <v>0.2</v>
      </c>
      <c r="O58" s="27">
        <v>0.2</v>
      </c>
      <c r="P58" s="27">
        <v>0.2</v>
      </c>
      <c r="Q58" s="27">
        <v>0.2</v>
      </c>
      <c r="R58" s="27">
        <v>0.2</v>
      </c>
      <c r="S58" s="27">
        <v>0.2</v>
      </c>
    </row>
    <row r="59" spans="1:19" s="5" customFormat="1" ht="23.25" customHeight="1" x14ac:dyDescent="0.3">
      <c r="A59" s="47" t="s">
        <v>68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9"/>
    </row>
    <row r="60" spans="1:19" s="5" customFormat="1" ht="56.25" x14ac:dyDescent="0.3">
      <c r="A60" s="4" t="s">
        <v>14</v>
      </c>
      <c r="B60" s="4" t="s">
        <v>13</v>
      </c>
      <c r="C60" s="32">
        <v>6489</v>
      </c>
      <c r="D60" s="32">
        <v>6402</v>
      </c>
      <c r="E60" s="32">
        <v>6395</v>
      </c>
      <c r="F60" s="32">
        <v>6402</v>
      </c>
      <c r="G60" s="32">
        <v>6402</v>
      </c>
      <c r="H60" s="32">
        <v>6240</v>
      </c>
      <c r="I60" s="32">
        <v>6300</v>
      </c>
      <c r="J60" s="32">
        <v>6300</v>
      </c>
      <c r="K60" s="32">
        <v>6200</v>
      </c>
      <c r="L60" s="32">
        <v>6300</v>
      </c>
      <c r="M60" s="32">
        <v>6300</v>
      </c>
      <c r="N60" s="4">
        <v>6300</v>
      </c>
      <c r="O60" s="4">
        <v>6350</v>
      </c>
      <c r="P60" s="4">
        <v>6450</v>
      </c>
      <c r="Q60" s="4">
        <v>6350</v>
      </c>
      <c r="R60" s="4">
        <v>6370</v>
      </c>
      <c r="S60" s="4">
        <v>6480</v>
      </c>
    </row>
    <row r="61" spans="1:19" s="5" customFormat="1" ht="18.75" x14ac:dyDescent="0.3">
      <c r="A61" s="47" t="s">
        <v>15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9"/>
    </row>
    <row r="62" spans="1:19" s="5" customFormat="1" ht="37.5" x14ac:dyDescent="0.3">
      <c r="A62" s="4" t="s">
        <v>16</v>
      </c>
      <c r="B62" s="4" t="s">
        <v>17</v>
      </c>
      <c r="C62" s="1">
        <v>46.6</v>
      </c>
      <c r="D62" s="1">
        <v>46.6</v>
      </c>
      <c r="E62" s="1">
        <v>47</v>
      </c>
      <c r="F62" s="1">
        <v>46.6</v>
      </c>
      <c r="G62" s="1">
        <v>46.6</v>
      </c>
      <c r="H62" s="1">
        <v>47</v>
      </c>
      <c r="I62" s="1">
        <v>46.6</v>
      </c>
      <c r="J62" s="1">
        <v>46.6</v>
      </c>
      <c r="K62" s="1">
        <v>47.2</v>
      </c>
      <c r="L62" s="27">
        <v>46.6</v>
      </c>
      <c r="M62" s="27">
        <v>46.6</v>
      </c>
      <c r="N62" s="27">
        <v>46.6</v>
      </c>
      <c r="O62" s="27">
        <v>46.6</v>
      </c>
      <c r="P62" s="27">
        <v>46.6</v>
      </c>
      <c r="Q62" s="27">
        <v>46.6</v>
      </c>
      <c r="R62" s="27">
        <v>46.6</v>
      </c>
      <c r="S62" s="27">
        <v>46.6</v>
      </c>
    </row>
    <row r="63" spans="1:19" s="5" customFormat="1" ht="50.25" customHeight="1" x14ac:dyDescent="0.3">
      <c r="A63" s="4" t="s">
        <v>18</v>
      </c>
      <c r="B63" s="4" t="s">
        <v>50</v>
      </c>
      <c r="C63" s="1">
        <v>15.8</v>
      </c>
      <c r="D63" s="1">
        <v>15.9</v>
      </c>
      <c r="E63" s="1">
        <v>16</v>
      </c>
      <c r="F63" s="1">
        <v>15.9</v>
      </c>
      <c r="G63" s="1">
        <v>15.9</v>
      </c>
      <c r="H63" s="1">
        <v>16</v>
      </c>
      <c r="I63" s="1">
        <v>15.9</v>
      </c>
      <c r="J63" s="1">
        <v>15.9</v>
      </c>
      <c r="K63" s="1">
        <v>16.100000000000001</v>
      </c>
      <c r="L63" s="27">
        <v>16</v>
      </c>
      <c r="M63" s="27">
        <v>16</v>
      </c>
      <c r="N63" s="27">
        <v>16</v>
      </c>
      <c r="O63" s="27">
        <v>16</v>
      </c>
      <c r="P63" s="27">
        <v>16</v>
      </c>
      <c r="Q63" s="27">
        <v>16</v>
      </c>
      <c r="R63" s="27">
        <v>16</v>
      </c>
      <c r="S63" s="27">
        <v>16</v>
      </c>
    </row>
    <row r="64" spans="1:19" s="5" customFormat="1" ht="45" customHeight="1" x14ac:dyDescent="0.3">
      <c r="A64" s="4" t="s">
        <v>19</v>
      </c>
      <c r="B64" s="4" t="s">
        <v>50</v>
      </c>
      <c r="C64" s="1">
        <v>12</v>
      </c>
      <c r="D64" s="1">
        <v>12.1</v>
      </c>
      <c r="E64" s="1">
        <v>12.2</v>
      </c>
      <c r="F64" s="1">
        <v>12.1</v>
      </c>
      <c r="G64" s="1">
        <v>12.1</v>
      </c>
      <c r="H64" s="1">
        <v>12.2</v>
      </c>
      <c r="I64" s="1">
        <v>12.1</v>
      </c>
      <c r="J64" s="1">
        <v>12.1</v>
      </c>
      <c r="K64" s="1">
        <v>12.3</v>
      </c>
      <c r="L64" s="27">
        <v>12.2</v>
      </c>
      <c r="M64" s="27">
        <v>12.2</v>
      </c>
      <c r="N64" s="4">
        <v>11.7</v>
      </c>
      <c r="O64" s="4">
        <v>11.8</v>
      </c>
      <c r="P64" s="4">
        <v>11.9</v>
      </c>
      <c r="Q64" s="4">
        <v>11.8</v>
      </c>
      <c r="R64" s="4">
        <v>11.9</v>
      </c>
      <c r="S64" s="4">
        <v>11.9</v>
      </c>
    </row>
    <row r="65" spans="1:21" s="5" customFormat="1" ht="74.25" customHeight="1" x14ac:dyDescent="0.3">
      <c r="A65" s="4" t="s">
        <v>20</v>
      </c>
      <c r="B65" s="4" t="s">
        <v>23</v>
      </c>
      <c r="C65" s="32">
        <v>659</v>
      </c>
      <c r="D65" s="32">
        <v>708</v>
      </c>
      <c r="E65" s="32">
        <v>707</v>
      </c>
      <c r="F65" s="32">
        <v>708</v>
      </c>
      <c r="G65" s="32">
        <v>708</v>
      </c>
      <c r="H65" s="32">
        <v>690</v>
      </c>
      <c r="I65" s="32">
        <v>708</v>
      </c>
      <c r="J65" s="32">
        <v>708</v>
      </c>
      <c r="K65" s="32">
        <v>686</v>
      </c>
      <c r="L65" s="32">
        <v>708</v>
      </c>
      <c r="M65" s="32">
        <v>708</v>
      </c>
      <c r="N65" s="32">
        <v>708</v>
      </c>
      <c r="O65" s="32">
        <v>708</v>
      </c>
      <c r="P65" s="32">
        <v>708</v>
      </c>
      <c r="Q65" s="32">
        <v>708</v>
      </c>
      <c r="R65" s="32">
        <v>708</v>
      </c>
      <c r="S65" s="32">
        <v>708</v>
      </c>
    </row>
    <row r="66" spans="1:21" ht="13.5" customHeight="1" x14ac:dyDescent="0.3">
      <c r="A66" s="5"/>
      <c r="B66" s="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21" ht="15.75" customHeight="1" x14ac:dyDescent="0.3">
      <c r="A67" s="5"/>
      <c r="B67" s="9"/>
      <c r="N67" s="3"/>
      <c r="O67" s="3"/>
      <c r="Q67" s="3"/>
      <c r="R67" s="3"/>
    </row>
    <row r="68" spans="1:21" ht="52.5" customHeight="1" x14ac:dyDescent="0.4">
      <c r="A68" s="46"/>
      <c r="B68" s="4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7"/>
      <c r="U68" s="17"/>
    </row>
    <row r="69" spans="1:21" ht="24.75" customHeight="1" x14ac:dyDescent="0.4">
      <c r="A69" s="46"/>
      <c r="B69" s="46"/>
      <c r="C69" s="16"/>
      <c r="D69" s="16"/>
      <c r="E69" s="16"/>
      <c r="F69" s="16" t="s">
        <v>83</v>
      </c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7"/>
      <c r="U69" s="17"/>
    </row>
  </sheetData>
  <mergeCells count="36">
    <mergeCell ref="A31:S31"/>
    <mergeCell ref="A13:A16"/>
    <mergeCell ref="E14:G14"/>
    <mergeCell ref="H14:J14"/>
    <mergeCell ref="A28:S28"/>
    <mergeCell ref="A24:S24"/>
    <mergeCell ref="A25:S25"/>
    <mergeCell ref="A17:S17"/>
    <mergeCell ref="N14:P14"/>
    <mergeCell ref="Q14:S14"/>
    <mergeCell ref="E13:S13"/>
    <mergeCell ref="A69:B69"/>
    <mergeCell ref="A68:B68"/>
    <mergeCell ref="A41:S41"/>
    <mergeCell ref="A48:S48"/>
    <mergeCell ref="A52:S52"/>
    <mergeCell ref="A59:S59"/>
    <mergeCell ref="A46:S46"/>
    <mergeCell ref="A61:S61"/>
    <mergeCell ref="B11:R11"/>
    <mergeCell ref="K14:M14"/>
    <mergeCell ref="B13:B16"/>
    <mergeCell ref="C14:C16"/>
    <mergeCell ref="D14:D16"/>
    <mergeCell ref="B10:R10"/>
    <mergeCell ref="O1:S1"/>
    <mergeCell ref="O3:S3"/>
    <mergeCell ref="O4:S4"/>
    <mergeCell ref="O5:S5"/>
    <mergeCell ref="O6:S6"/>
    <mergeCell ref="K1:M1"/>
    <mergeCell ref="K3:M3"/>
    <mergeCell ref="K4:M4"/>
    <mergeCell ref="K2:M2"/>
    <mergeCell ref="K5:M5"/>
    <mergeCell ref="K6:M6"/>
  </mergeCells>
  <printOptions horizontalCentered="1" verticalCentered="1"/>
  <pageMargins left="0.78740157480314965" right="0.98425196850393704" top="1.3779527559055118" bottom="0.39370078740157483" header="0" footer="0"/>
  <pageSetup paperSize="9" scale="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2024-11-15T07:10:03Z</cp:lastPrinted>
  <dcterms:created xsi:type="dcterms:W3CDTF">2013-05-25T16:45:04Z</dcterms:created>
  <dcterms:modified xsi:type="dcterms:W3CDTF">2024-11-15T07:10:14Z</dcterms:modified>
</cp:coreProperties>
</file>