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000" windowHeight="8745"/>
  </bookViews>
  <sheets>
    <sheet name="форма 2п для МО и ГО" sheetId="2" r:id="rId1"/>
  </sheets>
  <definedNames>
    <definedName name="_xlnm.Print_Titles" localSheetId="0">'форма 2п для МО и ГО'!$14:$17</definedName>
    <definedName name="_xlnm.Print_Area" localSheetId="0">'форма 2п для МО и ГО'!$A$1:$O$201</definedName>
  </definedNames>
  <calcPr calcId="145621"/>
</workbook>
</file>

<file path=xl/calcChain.xml><?xml version="1.0" encoding="utf-8"?>
<calcChain xmlns="http://schemas.openxmlformats.org/spreadsheetml/2006/main">
  <c r="N153" i="2" l="1"/>
  <c r="M153" i="2" s="1"/>
  <c r="L153" i="2" s="1"/>
  <c r="I153" i="2"/>
  <c r="F153" i="2"/>
  <c r="L152" i="2"/>
  <c r="I152" i="2"/>
  <c r="F152" i="2"/>
  <c r="L151" i="2"/>
  <c r="I151" i="2"/>
  <c r="F151" i="2"/>
  <c r="L150" i="2"/>
  <c r="I150" i="2"/>
  <c r="F150" i="2"/>
  <c r="L149" i="2"/>
  <c r="I149" i="2"/>
  <c r="F149" i="2"/>
  <c r="L148" i="2"/>
  <c r="I148" i="2"/>
  <c r="F148" i="2"/>
  <c r="N147" i="2"/>
  <c r="M147" i="2"/>
  <c r="L147" i="2" s="1"/>
  <c r="K147" i="2"/>
  <c r="K140" i="2" s="1"/>
  <c r="J147" i="2"/>
  <c r="I147" i="2" s="1"/>
  <c r="F147" i="2"/>
  <c r="L146" i="2"/>
  <c r="I146" i="2"/>
  <c r="F146" i="2"/>
  <c r="L145" i="2"/>
  <c r="I145" i="2"/>
  <c r="F145" i="2"/>
  <c r="L144" i="2"/>
  <c r="I144" i="2"/>
  <c r="F144" i="2"/>
  <c r="L143" i="2"/>
  <c r="I143" i="2"/>
  <c r="F143" i="2"/>
  <c r="L142" i="2"/>
  <c r="I142" i="2"/>
  <c r="F142" i="2"/>
  <c r="L141" i="2"/>
  <c r="I141" i="2"/>
  <c r="F141" i="2"/>
  <c r="N140" i="2"/>
  <c r="H140" i="2"/>
  <c r="G140" i="2"/>
  <c r="E140" i="2"/>
  <c r="D140" i="2"/>
  <c r="C140" i="2"/>
  <c r="H135" i="2"/>
  <c r="G135" i="2"/>
  <c r="F135" i="2"/>
  <c r="H134" i="2"/>
  <c r="G134" i="2"/>
  <c r="G122" i="2" s="1"/>
  <c r="F134" i="2"/>
  <c r="L123" i="2"/>
  <c r="L122" i="2" s="1"/>
  <c r="L121" i="2" s="1"/>
  <c r="I123" i="2"/>
  <c r="I122" i="2" s="1"/>
  <c r="I121" i="2" s="1"/>
  <c r="F123" i="2"/>
  <c r="E123" i="2"/>
  <c r="E122" i="2" s="1"/>
  <c r="E121" i="2" s="1"/>
  <c r="E154" i="2" s="1"/>
  <c r="N122" i="2"/>
  <c r="N121" i="2" s="1"/>
  <c r="N154" i="2" s="1"/>
  <c r="M122" i="2"/>
  <c r="M121" i="2" s="1"/>
  <c r="K122" i="2"/>
  <c r="K121" i="2" s="1"/>
  <c r="J122" i="2"/>
  <c r="J121" i="2" s="1"/>
  <c r="H122" i="2"/>
  <c r="D122" i="2"/>
  <c r="D121" i="2" s="1"/>
  <c r="C122" i="2"/>
  <c r="C121" i="2" s="1"/>
  <c r="C154" i="2" l="1"/>
  <c r="F122" i="2"/>
  <c r="F121" i="2" s="1"/>
  <c r="G121" i="2"/>
  <c r="G154" i="2" s="1"/>
  <c r="H121" i="2"/>
  <c r="H154" i="2" s="1"/>
  <c r="D154" i="2"/>
  <c r="F140" i="2"/>
  <c r="F154" i="2"/>
  <c r="I140" i="2"/>
  <c r="I154" i="2" s="1"/>
  <c r="K154" i="2"/>
  <c r="J140" i="2"/>
  <c r="J154" i="2" s="1"/>
  <c r="L140" i="2"/>
  <c r="L154" i="2" s="1"/>
  <c r="M140" i="2"/>
  <c r="M154" i="2" s="1"/>
  <c r="K93" i="2"/>
  <c r="H93" i="2"/>
  <c r="G93" i="2"/>
  <c r="H165" i="2"/>
  <c r="K165" i="2" s="1"/>
  <c r="N165" i="2" s="1"/>
  <c r="G165" i="2"/>
  <c r="H160" i="2"/>
  <c r="K160" i="2" s="1"/>
  <c r="N160" i="2" s="1"/>
  <c r="K115" i="2"/>
  <c r="K111" i="2" s="1"/>
  <c r="K110" i="2" s="1"/>
  <c r="J115" i="2"/>
  <c r="J111" i="2" s="1"/>
  <c r="H115" i="2"/>
  <c r="H112" i="2" s="1"/>
  <c r="H111" i="2" s="1"/>
  <c r="H110" i="2" s="1"/>
  <c r="G115" i="2"/>
  <c r="G112" i="2" s="1"/>
  <c r="K108" i="2"/>
  <c r="J108" i="2"/>
  <c r="H108" i="2"/>
  <c r="K106" i="2"/>
  <c r="H106" i="2"/>
  <c r="M115" i="2" l="1"/>
  <c r="M111" i="2" s="1"/>
  <c r="M110" i="2" s="1"/>
  <c r="M108" i="2"/>
  <c r="M106" i="2"/>
  <c r="M93" i="2"/>
  <c r="I108" i="2" l="1"/>
  <c r="L108" i="2"/>
  <c r="E107" i="2"/>
  <c r="F108" i="2" s="1"/>
  <c r="N106" i="2"/>
  <c r="J106" i="2"/>
  <c r="L106" i="2"/>
  <c r="I106" i="2"/>
  <c r="E105" i="2"/>
  <c r="F106" i="2" l="1"/>
  <c r="G106" i="2"/>
  <c r="E98" i="2"/>
  <c r="E96" i="2"/>
  <c r="F96" i="2" s="1"/>
  <c r="E72" i="2"/>
  <c r="G72" i="2" s="1"/>
  <c r="E69" i="2"/>
  <c r="E28" i="2"/>
  <c r="I96" i="2" l="1"/>
  <c r="M96" i="2" s="1"/>
  <c r="H96" i="2"/>
  <c r="K96" i="2" s="1"/>
  <c r="F98" i="2"/>
  <c r="G98" i="2"/>
  <c r="J98" i="2" s="1"/>
  <c r="N98" i="2" s="1"/>
  <c r="G69" i="2"/>
  <c r="J69" i="2" s="1"/>
  <c r="N69" i="2" s="1"/>
  <c r="F69" i="2"/>
  <c r="I69" i="2" s="1"/>
  <c r="G28" i="2"/>
  <c r="J28" i="2" s="1"/>
  <c r="N28" i="2" s="1"/>
  <c r="J72" i="2"/>
  <c r="N72" i="2" s="1"/>
  <c r="F28" i="2"/>
  <c r="I28" i="2" s="1"/>
  <c r="F72" i="2"/>
  <c r="I72" i="2" s="1"/>
  <c r="G96" i="2"/>
  <c r="E77" i="2"/>
  <c r="G77" i="2" s="1"/>
  <c r="E79" i="2"/>
  <c r="G79" i="2" s="1"/>
  <c r="J79" i="2" s="1"/>
  <c r="G75" i="2" l="1"/>
  <c r="L96" i="2"/>
  <c r="I98" i="2"/>
  <c r="H98" i="2"/>
  <c r="K98" i="2" s="1"/>
  <c r="L28" i="2"/>
  <c r="M28" i="2"/>
  <c r="L72" i="2"/>
  <c r="M72" i="2"/>
  <c r="L69" i="2"/>
  <c r="M69" i="2"/>
  <c r="F77" i="2"/>
  <c r="H77" i="2" s="1"/>
  <c r="J77" i="2"/>
  <c r="J75" i="2" s="1"/>
  <c r="E75" i="2"/>
  <c r="E76" i="2" s="1"/>
  <c r="F79" i="2"/>
  <c r="N79" i="2"/>
  <c r="N108" i="2"/>
  <c r="G108" i="2"/>
  <c r="N115" i="2"/>
  <c r="N111" i="2" s="1"/>
  <c r="N110" i="2" s="1"/>
  <c r="L115" i="2"/>
  <c r="L111" i="2" s="1"/>
  <c r="L110" i="2" s="1"/>
  <c r="J110" i="2"/>
  <c r="I115" i="2"/>
  <c r="I111" i="2" s="1"/>
  <c r="I110" i="2" s="1"/>
  <c r="F115" i="2"/>
  <c r="F111" i="2" s="1"/>
  <c r="F110" i="2" s="1"/>
  <c r="E111" i="2"/>
  <c r="E110" i="2" s="1"/>
  <c r="J76" i="2" l="1"/>
  <c r="K77" i="2"/>
  <c r="M98" i="2"/>
  <c r="L98" i="2"/>
  <c r="I79" i="2"/>
  <c r="L79" i="2" s="1"/>
  <c r="H79" i="2"/>
  <c r="K79" i="2" s="1"/>
  <c r="G76" i="2"/>
  <c r="G111" i="2"/>
  <c r="G110" i="2" s="1"/>
  <c r="I77" i="2"/>
  <c r="F75" i="2"/>
  <c r="F76" i="2" s="1"/>
  <c r="J165" i="2"/>
  <c r="F165" i="2"/>
  <c r="I165" i="2" s="1"/>
  <c r="M165" i="2" s="1"/>
  <c r="M79" i="2" l="1"/>
  <c r="H75" i="2"/>
  <c r="H76" i="2" s="1"/>
  <c r="M77" i="2"/>
  <c r="M75" i="2" s="1"/>
  <c r="L77" i="2"/>
  <c r="L75" i="2" s="1"/>
  <c r="K75" i="2"/>
  <c r="L165" i="2"/>
  <c r="I75" i="2"/>
  <c r="N77" i="2"/>
  <c r="N75" i="2" s="1"/>
  <c r="G160" i="2"/>
  <c r="J160" i="2" s="1"/>
  <c r="F160" i="2"/>
  <c r="I160" i="2" s="1"/>
  <c r="M160" i="2" s="1"/>
  <c r="K76" i="2" l="1"/>
  <c r="L160" i="2"/>
  <c r="I76" i="2"/>
  <c r="M76" i="2"/>
  <c r="L76" i="2"/>
  <c r="J96" i="2"/>
  <c r="N96" i="2" s="1"/>
  <c r="D97" i="2"/>
  <c r="D93" i="2"/>
  <c r="N93" i="2"/>
  <c r="L93" i="2"/>
  <c r="J93" i="2"/>
  <c r="I93" i="2"/>
  <c r="F93" i="2"/>
  <c r="E93" i="2"/>
</calcChain>
</file>

<file path=xl/sharedStrings.xml><?xml version="1.0" encoding="utf-8"?>
<sst xmlns="http://schemas.openxmlformats.org/spreadsheetml/2006/main" count="355" uniqueCount="214">
  <si>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</si>
  <si>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</si>
  <si>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</si>
  <si>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</si>
  <si>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</si>
  <si>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</si>
  <si>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</si>
  <si>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</si>
  <si>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</si>
  <si>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</si>
  <si>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</si>
  <si>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</si>
  <si>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</si>
  <si>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</si>
  <si>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</si>
  <si>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</si>
  <si>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</si>
  <si>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</si>
  <si>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</si>
  <si>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</si>
  <si>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</si>
  <si>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</si>
  <si>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Индекс физического объема инвестиций в основной капитал</t>
  </si>
  <si>
    <t>Собственные средства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</si>
  <si>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</si>
  <si>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</si>
  <si>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</si>
  <si>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</si>
  <si>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</si>
  <si>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</si>
  <si>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</si>
  <si>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учреждениями культурно-досугового типа</t>
  </si>
  <si>
    <t>дошкольными образовательными учреждениями</t>
  </si>
  <si>
    <t>Численность иностранных граждан, прибывших в регион по цели поездки туризм</t>
  </si>
  <si>
    <t>Численность российских граждан, выехавших за границу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</si>
  <si>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</si>
  <si>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</si>
  <si>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</si>
  <si>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</si>
  <si>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</si>
  <si>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отчет</t>
  </si>
  <si>
    <t>прогноз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</si>
  <si>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</si>
  <si>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</si>
  <si>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</si>
  <si>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</si>
  <si>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</si>
  <si>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</si>
  <si>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</si>
  <si>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</si>
  <si>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</si>
  <si>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</si>
  <si>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</si>
  <si>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</si>
  <si>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</si>
  <si>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</si>
  <si>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</si>
  <si>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</si>
  <si>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</si>
  <si>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Темп роста отгрузки - РАЗДЕЛ D: Обеспечение электрической энергией, газом и паром; кондиционирование воздуха</t>
  </si>
  <si>
    <t>Темп роста отгрузки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</si>
  <si>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 *</t>
  </si>
  <si>
    <t>Темп роста отгрузки - 17 Производство бумаги и бумажных изделий *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</si>
  <si>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</si>
  <si>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- 10 Производство пищевых продуктов *</t>
  </si>
  <si>
    <t>Темп роста отгрузки -10 Производство пищевых продуктов *</t>
  </si>
  <si>
    <t>Объем отгруженных товаров собственного производства, выполненных работ и услуг собственными силами - 11 Производство напитков *</t>
  </si>
  <si>
    <t>Темп роста отгрузки -11 Производство напитков *</t>
  </si>
  <si>
    <t>Объем отгруженных товаров собственного производства, выполненных работ и услуг собственными силами - 12 Производство табачных изделий *</t>
  </si>
  <si>
    <t>Темп роста отгрузки - 12 Производство табачных изделий *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</si>
  <si>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 *</t>
  </si>
  <si>
    <t>Объем отгруженных товаров собственного производства, выполненных работ и услуг собственными силами - 14 Производство одежды *</t>
  </si>
  <si>
    <t>Темп роста отгрузки - 14 Производство одежды *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</si>
  <si>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</si>
  <si>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</si>
  <si>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роста отгрузки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</si>
  <si>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 *</t>
  </si>
  <si>
    <t>Темп роста отгрузки - 21 Производство лекарственных средств и материалов, применяемых в медицинских целях *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</si>
  <si>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 *</t>
  </si>
  <si>
    <t>Темп роста отгрузки - 22 Производство резиновых и пластмассовых изделий *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</si>
  <si>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 *</t>
  </si>
  <si>
    <t>Темп роста отгрузки - 23 Производство прочей неметаллической минеральной продукции *</t>
  </si>
  <si>
    <t>Объем отгруженных товаров собственного производства, выполненных работ и услуг собственными силами - 24 Производство металлургическое *</t>
  </si>
  <si>
    <t>Темп роста отгрузки - 24 Производство металлургическое *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</si>
  <si>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 *</t>
  </si>
  <si>
    <t>Темп роста отгрузки - 25 Производство готовых металлических изделий, кроме машин и оборудования *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</si>
  <si>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 *</t>
  </si>
  <si>
    <t>Темп роста отгрузки - 26 Производство компьютеров, электронных и  оптических изделий *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</si>
  <si>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 *</t>
  </si>
  <si>
    <t>Темп роста отгрузки - 27 Производство электрического оборудования *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</si>
  <si>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 *</t>
  </si>
  <si>
    <t>Темп роста отгрузки - 30 Производство прочих транспортных средств и оборудования *</t>
  </si>
  <si>
    <t>Объем отгруженных товаров собственного производства, выполненных работ и услуг собственными силами - 31 Производство мебели *</t>
  </si>
  <si>
    <t>Темп роста отгрузки - 31 Производство мебели *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</si>
  <si>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 *</t>
  </si>
  <si>
    <t>Темп роста отгрузки - 32 Производство прочих готовых изделий *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</si>
  <si>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</si>
  <si>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 **</t>
  </si>
  <si>
    <t>Темп роста отгрузки - 20 Производство химических веществ и химических продуктов **</t>
  </si>
  <si>
    <t>* город Ставрополь</t>
  </si>
  <si>
    <t>Все страны***</t>
  </si>
  <si>
    <t>Количество российских посетителей из других регионов (резидентов)***</t>
  </si>
  <si>
    <t>*** города-курорты КМВ</t>
  </si>
  <si>
    <t>**города Ставрополь и Невинномысск</t>
  </si>
  <si>
    <t>Ожидаемая продолжительность жизни при рождении</t>
  </si>
  <si>
    <t>число лет</t>
  </si>
  <si>
    <t>Миграционный прирост (убыль)</t>
  </si>
  <si>
    <t>Количество малых и средних предприятий, включая микропредприятия (на конец года)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</si>
  <si>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</si>
  <si>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</si>
  <si>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</si>
  <si>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</si>
  <si>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</si>
  <si>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</si>
  <si>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</si>
  <si>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</si>
  <si>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</si>
  <si>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</si>
  <si>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</si>
  <si>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</si>
  <si>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оценка показателя</t>
  </si>
  <si>
    <t>Население</t>
  </si>
  <si>
    <t>Численность населения (в среднегодовом исчислении)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</si>
  <si>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</si>
  <si>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</si>
  <si>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>число родившихся живыми
на 1000 человек населения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</si>
  <si>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</si>
  <si>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</si>
  <si>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</si>
  <si>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</si>
  <si>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Объем работ, выполненных по виду деятельности "Строительство"</t>
  </si>
  <si>
    <t>Индекс физического объема работ, выполненных по виду деятельности "Строительство"</t>
  </si>
  <si>
    <t>тыс. кв. м общей площади</t>
  </si>
  <si>
    <t>Торговля и услуги населению</t>
  </si>
  <si>
    <t>Индекс физического объема оборота розничной торговли</t>
  </si>
  <si>
    <t>Индекс физического объема платных услуг населению</t>
  </si>
  <si>
    <t>Малое и среднее предпринимательство, включая микропредприятия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</si>
  <si>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</si>
  <si>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Налоговые доходы консолидированного бюджета субъекта Российской Федерации всего, в том числе: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</si>
  <si>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</si>
  <si>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</si>
  <si>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</si>
  <si>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</si>
  <si>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</si>
  <si>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</si>
  <si>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</si>
  <si>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</si>
  <si>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</si>
  <si>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</si>
  <si>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</si>
  <si>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</si>
  <si>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</si>
  <si>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дотации на выравнивание бюджетной обеспеченности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</si>
  <si>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</si>
  <si>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</si>
  <si>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</si>
  <si>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</si>
  <si>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</si>
  <si>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</si>
  <si>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</si>
  <si>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</si>
  <si>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</si>
  <si>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</si>
  <si>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</si>
  <si>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</si>
  <si>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</si>
  <si>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</si>
  <si>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</si>
  <si>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</si>
  <si>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</si>
  <si>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</si>
  <si>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</si>
  <si>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</si>
  <si>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</si>
  <si>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</si>
  <si>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</si>
  <si>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 xml:space="preserve">Производство важнейших видов продукции в натуральном выражении </t>
  </si>
  <si>
    <t>Развитие социальной сферы</t>
  </si>
  <si>
    <t>Туризм</t>
  </si>
  <si>
    <t>Инвестиции в основной капитал</t>
  </si>
  <si>
    <t>в ценах соответствующих лет; млн. руб.</t>
  </si>
  <si>
    <t>% к предыдущему году в сопоставимых ценах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</si>
  <si>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</si>
  <si>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</si>
  <si>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Инвестиции в основной капитал по источникам финансирования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</si>
  <si>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</si>
  <si>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</si>
  <si>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</si>
  <si>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</si>
  <si>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</si>
  <si>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>Прочие</t>
  </si>
  <si>
    <t>Инвестиции</t>
  </si>
  <si>
    <t>целевой</t>
  </si>
  <si>
    <t>3 вариант</t>
  </si>
  <si>
    <t>Приложение</t>
  </si>
  <si>
    <t>ПРОГНОЗ</t>
  </si>
  <si>
    <t xml:space="preserve"> социально-экономического развития Георгиевского городского округа Ставропольского края на 2021 год и на период до 2023 года</t>
  </si>
  <si>
    <t>млн. руб.</t>
  </si>
  <si>
    <t>млн. шт.</t>
  </si>
  <si>
    <t>млрд. руб.</t>
  </si>
  <si>
    <t>учрежд. на 100 тыс. населения</t>
  </si>
  <si>
    <t xml:space="preserve"> бюджеты субъектов Российской Федерации</t>
  </si>
  <si>
    <t xml:space="preserve"> из местных бюджетов</t>
  </si>
  <si>
    <t>федеральный бюджет</t>
  </si>
  <si>
    <t xml:space="preserve"> Страны вне СНГ***</t>
  </si>
  <si>
    <t xml:space="preserve"> Страны СНГ***</t>
  </si>
  <si>
    <t>Управляющий делами администрации</t>
  </si>
  <si>
    <t>Георгиевского городского округа</t>
  </si>
  <si>
    <t>Ставропольского края</t>
  </si>
  <si>
    <t>А.Н.Савченко</t>
  </si>
  <si>
    <t xml:space="preserve">к постановлению администрации </t>
  </si>
  <si>
    <t>Георгиевского городского</t>
  </si>
  <si>
    <t>округа Ставропольского края</t>
  </si>
  <si>
    <t>от 12 ноября 2020 г. № 2901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</si>
</sst>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i/>
      <sz val="14"/>
      <name val="Times New Roman"/>
      <family val="1"/>
      <charset val="204"/>
    </font>
    <font>
      <sz val="25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 shrinkToFit="1"/>
    </xf>
    <xf numFmtId="0" fontId="1" fillId="0" borderId="0" xfId="0" applyFont="1" applyFill="1" applyBorder="1" applyAlignment="1" applyProtection="1">
      <alignment horizontal="left" vertical="center" wrapText="1" shrinkToFi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0" xfId="0" applyFont="1" applyFill="1" applyBorder="1" applyAlignment="1" applyProtection="1">
      <alignment horizontal="left" vertical="center" wrapText="1" shrinkToFit="1"/>
    </xf>
    <xf numFmtId="0" fontId="2" fillId="0" borderId="0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2" fillId="0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0" borderId="0" xfId="0" applyFont="1" applyFill="1" applyAlignment="1">
      <alignment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 shrinkToFit="1"/>
    </xf>
    <xf numFmtId="164" fontId="2" fillId="0" borderId="5" xfId="0" applyNumberFormat="1" applyFont="1" applyFill="1" applyBorder="1" applyAlignment="1" applyProtection="1">
      <alignment horizontal="center" vertical="center" wrapText="1" shrinkToFit="1"/>
    </xf>
    <xf numFmtId="164" fontId="2" fillId="0" borderId="5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164" fontId="1" fillId="0" borderId="5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 applyProtection="1">
      <alignment horizontal="center" vertical="center" wrapText="1" shrinkToFit="1"/>
    </xf>
    <xf numFmtId="164" fontId="1" fillId="0" borderId="5" xfId="0" applyNumberFormat="1" applyFont="1" applyFill="1" applyBorder="1" applyAlignment="1" applyProtection="1">
      <alignment horizontal="center" vertical="center" wrapText="1" shrinkToFit="1"/>
    </xf>
    <xf numFmtId="0" fontId="1" fillId="0" borderId="1" xfId="0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0" fillId="2" borderId="6" xfId="0" applyFont="1" applyFill="1" applyBorder="1"/>
    <xf numFmtId="0" fontId="2" fillId="0" borderId="1" xfId="0" applyFont="1" applyFill="1" applyBorder="1" applyAlignment="1" applyProtection="1">
      <alignment vertical="center" wrapText="1" shrinkToFit="1"/>
    </xf>
    <xf numFmtId="0" fontId="2" fillId="0" borderId="5" xfId="0" applyFont="1" applyFill="1" applyBorder="1" applyAlignment="1" applyProtection="1">
      <alignment vertical="center" wrapText="1" shrinkToFi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3" borderId="1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1" fillId="2" borderId="5" xfId="0" applyFont="1" applyFill="1" applyBorder="1" applyAlignment="1" applyProtection="1">
      <alignment horizontal="left" vertical="center" wrapText="1" shrinkToFit="1"/>
    </xf>
    <xf numFmtId="0" fontId="1" fillId="2" borderId="6" xfId="0" applyFont="1" applyFill="1" applyBorder="1" applyAlignment="1" applyProtection="1">
      <alignment horizontal="left" vertical="center" wrapText="1" shrinkToFi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8" xfId="0" applyFont="1" applyBorder="1"/>
    <xf numFmtId="0" fontId="0" fillId="0" borderId="0" xfId="0" applyFont="1" applyBorder="1"/>
    <xf numFmtId="0" fontId="1" fillId="0" borderId="8" xfId="0" applyFont="1" applyFill="1" applyBorder="1" applyAlignment="1" applyProtection="1">
      <alignment horizontal="left" vertical="center" wrapText="1" shrinkToFit="1"/>
    </xf>
    <xf numFmtId="0" fontId="1" fillId="2" borderId="8" xfId="0" applyFont="1" applyFill="1" applyBorder="1" applyAlignment="1" applyProtection="1">
      <alignment horizontal="left" vertical="center" wrapText="1" shrinkToFit="1"/>
    </xf>
    <xf numFmtId="0" fontId="1" fillId="2" borderId="0" xfId="0" applyFont="1" applyFill="1" applyBorder="1" applyAlignment="1" applyProtection="1">
      <alignment horizontal="left" vertical="center" wrapText="1" shrinkToFit="1"/>
    </xf>
    <xf numFmtId="0" fontId="5" fillId="0" borderId="0" xfId="0" applyFont="1" applyFill="1" applyBorder="1" applyAlignment="1" applyProtection="1">
      <alignment vertical="center" wrapText="1" shrinkToFit="1"/>
    </xf>
    <xf numFmtId="0" fontId="1" fillId="0" borderId="8" xfId="0" applyFont="1" applyFill="1" applyBorder="1" applyAlignment="1" applyProtection="1">
      <alignment horizontal="center" vertical="center" wrapText="1" shrinkToFit="1"/>
    </xf>
    <xf numFmtId="0" fontId="0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2" borderId="6" xfId="0" applyFont="1" applyFill="1" applyBorder="1" applyAlignment="1">
      <alignment horizontal="center"/>
    </xf>
    <xf numFmtId="0" fontId="1" fillId="2" borderId="6" xfId="0" applyFont="1" applyFill="1" applyBorder="1" applyAlignment="1" applyProtection="1">
      <alignment horizontal="center" vertical="center" wrapText="1" shrinkToFit="1"/>
    </xf>
    <xf numFmtId="0" fontId="1" fillId="0" borderId="6" xfId="0" applyFont="1" applyFill="1" applyBorder="1" applyAlignment="1" applyProtection="1">
      <alignment horizontal="center" vertical="center" wrapText="1" shrinkToFi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2" fontId="2" fillId="0" borderId="1" xfId="0" applyNumberFormat="1" applyFont="1" applyFill="1" applyBorder="1" applyAlignment="1" applyProtection="1">
      <alignment horizontal="left" vertical="center" wrapText="1" shrinkToFit="1"/>
    </xf>
    <xf numFmtId="2" fontId="2" fillId="0" borderId="1" xfId="0" applyNumberFormat="1" applyFont="1" applyFill="1" applyBorder="1" applyAlignment="1" applyProtection="1">
      <alignment horizontal="center" vertical="center" wrapText="1" shrinkToFit="1"/>
    </xf>
    <xf numFmtId="2" fontId="2" fillId="0" borderId="8" xfId="0" applyNumberFormat="1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2" fontId="3" fillId="0" borderId="0" xfId="0" applyNumberFormat="1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2" borderId="5" xfId="0" applyFont="1" applyFill="1" applyBorder="1" applyAlignment="1" applyProtection="1">
      <alignment horizontal="left" vertical="center" wrapText="1" shrinkToFit="1"/>
    </xf>
    <xf numFmtId="0" fontId="1" fillId="2" borderId="6" xfId="0" applyFont="1" applyFill="1" applyBorder="1" applyAlignment="1" applyProtection="1">
      <alignment horizontal="left" vertical="center" wrapText="1" shrinkToFi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6"/>
  <sheetViews>
    <sheetView tabSelected="1" view="pageBreakPreview" zoomScale="60" zoomScaleNormal="70" workbookViewId="0">
      <selection activeCell="F6" sqref="F6"/>
    </sheetView>
  </sheetViews>
  <sheetFormatPr defaultRowHeight="12.75" x14ac:dyDescent="0.2"/>
  <cols>
    <col min="1" max="1" width="41.140625" style="67" customWidth="1"/>
    <col min="2" max="2" width="21.28515625" style="75" customWidth="1"/>
    <col min="3" max="3" width="18.140625" style="67" customWidth="1"/>
    <col min="4" max="4" width="18" style="67" customWidth="1"/>
    <col min="5" max="5" width="17.42578125" style="67" customWidth="1"/>
    <col min="6" max="14" width="21.42578125" style="67" customWidth="1"/>
    <col min="15" max="17" width="11" style="67" customWidth="1"/>
    <col min="18" max="18" width="11.7109375" style="67" customWidth="1"/>
    <col min="19" max="19" width="11" style="67" customWidth="1"/>
    <col min="20" max="20" width="10" style="67" customWidth="1"/>
    <col min="21" max="21" width="10.85546875" style="67" customWidth="1"/>
    <col min="22" max="22" width="11" style="67" customWidth="1"/>
    <col min="23" max="23" width="10.140625" style="67" customWidth="1"/>
    <col min="24" max="24" width="18.28515625" style="67" customWidth="1"/>
    <col min="25" max="16384" width="9.140625" style="67"/>
  </cols>
  <sheetData>
    <row r="1" spans="1:23" s="8" customFormat="1" ht="29.25" customHeight="1" x14ac:dyDescent="0.45">
      <c r="B1" s="76"/>
      <c r="I1" s="82"/>
      <c r="J1" s="82"/>
      <c r="K1" s="82"/>
      <c r="L1" s="94" t="s">
        <v>194</v>
      </c>
      <c r="M1" s="94"/>
      <c r="N1" s="94"/>
      <c r="O1" s="94"/>
      <c r="P1" s="35"/>
      <c r="Q1" s="35"/>
      <c r="R1" s="35"/>
      <c r="S1" s="35"/>
      <c r="T1" s="35"/>
      <c r="U1" s="35"/>
      <c r="V1" s="35"/>
      <c r="W1" s="35"/>
    </row>
    <row r="2" spans="1:23" s="8" customFormat="1" ht="20.25" customHeight="1" x14ac:dyDescent="0.45">
      <c r="B2" s="76"/>
      <c r="I2" s="88"/>
      <c r="J2" s="88"/>
      <c r="K2" s="88"/>
      <c r="L2" s="94"/>
      <c r="M2" s="94"/>
      <c r="N2" s="94"/>
      <c r="O2" s="94"/>
      <c r="P2" s="35"/>
      <c r="Q2" s="35"/>
      <c r="R2" s="35"/>
      <c r="S2" s="35"/>
      <c r="T2" s="35"/>
      <c r="U2" s="35"/>
      <c r="V2" s="35"/>
      <c r="W2" s="35"/>
    </row>
    <row r="3" spans="1:23" s="8" customFormat="1" ht="25.5" customHeight="1" x14ac:dyDescent="0.45">
      <c r="B3" s="76"/>
      <c r="I3" s="82"/>
      <c r="J3" s="82"/>
      <c r="K3" s="82"/>
      <c r="L3" s="93" t="s">
        <v>210</v>
      </c>
      <c r="M3" s="93"/>
      <c r="N3" s="93"/>
      <c r="O3" s="93"/>
      <c r="P3" s="35"/>
      <c r="Q3" s="35"/>
      <c r="R3" s="35"/>
      <c r="S3" s="35"/>
      <c r="T3" s="35"/>
      <c r="U3" s="35"/>
      <c r="V3" s="35"/>
      <c r="W3" s="35"/>
    </row>
    <row r="4" spans="1:23" s="8" customFormat="1" ht="26.25" customHeight="1" x14ac:dyDescent="0.45">
      <c r="B4" s="76"/>
      <c r="I4" s="82"/>
      <c r="J4" s="82"/>
      <c r="K4" s="82"/>
      <c r="L4" s="93" t="s">
        <v>211</v>
      </c>
      <c r="M4" s="93"/>
      <c r="N4" s="93"/>
      <c r="O4" s="93"/>
      <c r="P4" s="35"/>
      <c r="Q4" s="35"/>
      <c r="R4" s="35"/>
      <c r="S4" s="35"/>
      <c r="T4" s="35"/>
      <c r="U4" s="35"/>
      <c r="V4" s="35"/>
      <c r="W4" s="35"/>
    </row>
    <row r="5" spans="1:23" s="8" customFormat="1" ht="27.75" customHeight="1" x14ac:dyDescent="0.45">
      <c r="B5" s="76"/>
      <c r="I5" s="88"/>
      <c r="J5" s="88"/>
      <c r="K5" s="88"/>
      <c r="L5" s="93" t="s">
        <v>212</v>
      </c>
      <c r="M5" s="93"/>
      <c r="N5" s="93"/>
      <c r="O5" s="93"/>
      <c r="P5" s="35"/>
      <c r="Q5" s="35"/>
      <c r="R5" s="35"/>
      <c r="S5" s="35"/>
      <c r="T5" s="35"/>
      <c r="U5" s="35"/>
      <c r="V5" s="35"/>
      <c r="W5" s="35"/>
    </row>
    <row r="6" spans="1:23" s="8" customFormat="1" ht="27.75" customHeight="1" x14ac:dyDescent="0.45">
      <c r="B6" s="76"/>
      <c r="I6" s="88"/>
      <c r="J6" s="88"/>
      <c r="K6" s="88"/>
      <c r="L6" s="93" t="s">
        <v>213</v>
      </c>
      <c r="M6" s="93"/>
      <c r="N6" s="93"/>
      <c r="O6" s="93"/>
      <c r="P6" s="35"/>
      <c r="Q6" s="35"/>
      <c r="R6" s="35"/>
      <c r="S6" s="35"/>
      <c r="T6" s="35"/>
      <c r="U6" s="35"/>
      <c r="V6" s="35"/>
      <c r="W6" s="35"/>
    </row>
    <row r="7" spans="1:23" s="8" customFormat="1" ht="31.5" x14ac:dyDescent="0.45">
      <c r="B7" s="76"/>
      <c r="I7" s="88"/>
      <c r="J7" s="88"/>
      <c r="K7" s="88"/>
      <c r="L7" s="88"/>
      <c r="M7" s="88"/>
      <c r="N7" s="88"/>
      <c r="O7" s="88"/>
      <c r="P7" s="35"/>
      <c r="Q7" s="35"/>
      <c r="R7" s="35"/>
      <c r="S7" s="35"/>
      <c r="T7" s="35"/>
      <c r="U7" s="35"/>
      <c r="V7" s="35"/>
      <c r="W7" s="35"/>
    </row>
    <row r="8" spans="1:23" s="8" customFormat="1" ht="31.5" x14ac:dyDescent="0.45">
      <c r="B8" s="76"/>
      <c r="I8" s="88"/>
      <c r="J8" s="88"/>
      <c r="K8" s="88"/>
      <c r="L8" s="88"/>
      <c r="M8" s="88"/>
      <c r="N8" s="88"/>
      <c r="O8" s="88"/>
      <c r="P8" s="35"/>
      <c r="Q8" s="35"/>
      <c r="R8" s="35"/>
      <c r="S8" s="35"/>
      <c r="T8" s="35"/>
      <c r="U8" s="35"/>
      <c r="V8" s="35"/>
      <c r="W8" s="35"/>
    </row>
    <row r="9" spans="1:23" s="8" customFormat="1" ht="31.5" x14ac:dyDescent="0.45">
      <c r="B9" s="76"/>
      <c r="I9" s="88"/>
      <c r="J9" s="88"/>
      <c r="K9" s="88"/>
      <c r="L9" s="89"/>
      <c r="M9" s="89"/>
      <c r="N9" s="89"/>
      <c r="O9" s="89"/>
      <c r="P9" s="35"/>
      <c r="Q9" s="35"/>
      <c r="R9" s="35"/>
      <c r="S9" s="35"/>
      <c r="T9" s="35"/>
      <c r="U9" s="35"/>
      <c r="V9" s="35"/>
      <c r="W9" s="35"/>
    </row>
    <row r="10" spans="1:23" s="8" customFormat="1" ht="31.5" x14ac:dyDescent="0.45">
      <c r="B10" s="76"/>
      <c r="I10" s="88"/>
      <c r="J10" s="88"/>
      <c r="K10" s="88"/>
      <c r="L10" s="89"/>
      <c r="M10" s="89"/>
      <c r="N10" s="89"/>
      <c r="O10" s="89"/>
      <c r="P10" s="35"/>
      <c r="Q10" s="35"/>
      <c r="R10" s="35"/>
      <c r="S10" s="35"/>
      <c r="T10" s="35"/>
      <c r="U10" s="35"/>
      <c r="V10" s="35"/>
      <c r="W10" s="35"/>
    </row>
    <row r="11" spans="1:23" s="8" customFormat="1" ht="31.5" x14ac:dyDescent="0.45">
      <c r="B11" s="76"/>
      <c r="F11" s="97" t="s">
        <v>195</v>
      </c>
      <c r="G11" s="97"/>
      <c r="H11" s="97"/>
    </row>
    <row r="12" spans="1:23" s="8" customFormat="1" ht="98.25" customHeight="1" x14ac:dyDescent="0.45">
      <c r="A12" s="92"/>
      <c r="B12" s="98" t="s">
        <v>196</v>
      </c>
      <c r="C12" s="98"/>
      <c r="D12" s="98"/>
      <c r="E12" s="98"/>
      <c r="F12" s="98"/>
      <c r="G12" s="98"/>
      <c r="H12" s="98"/>
      <c r="I12" s="98"/>
      <c r="J12" s="98"/>
      <c r="K12" s="98"/>
      <c r="L12" s="92"/>
      <c r="M12" s="92"/>
      <c r="N12" s="92"/>
      <c r="O12" s="9"/>
      <c r="P12" s="9"/>
      <c r="Q12" s="9"/>
      <c r="R12" s="9"/>
      <c r="S12" s="9"/>
      <c r="T12" s="9"/>
      <c r="U12" s="9"/>
      <c r="V12" s="9"/>
      <c r="W12" s="9"/>
    </row>
    <row r="13" spans="1:23" ht="23.25" customHeight="1" x14ac:dyDescent="0.2"/>
    <row r="14" spans="1:23" s="6" customFormat="1" ht="37.5" x14ac:dyDescent="0.2">
      <c r="A14" s="106" t="s">
        <v>38</v>
      </c>
      <c r="B14" s="106" t="s">
        <v>39</v>
      </c>
      <c r="C14" s="17" t="s">
        <v>40</v>
      </c>
      <c r="D14" s="17" t="s">
        <v>40</v>
      </c>
      <c r="E14" s="17" t="s">
        <v>120</v>
      </c>
      <c r="F14" s="103" t="s">
        <v>41</v>
      </c>
      <c r="G14" s="104"/>
      <c r="H14" s="104"/>
      <c r="I14" s="104"/>
      <c r="J14" s="104"/>
      <c r="K14" s="104"/>
      <c r="L14" s="104"/>
      <c r="M14" s="104"/>
      <c r="N14" s="105"/>
      <c r="O14" s="31"/>
      <c r="P14" s="10"/>
      <c r="Q14" s="10"/>
      <c r="R14" s="10"/>
      <c r="S14" s="10"/>
      <c r="T14" s="10"/>
      <c r="U14" s="10"/>
      <c r="V14" s="10"/>
      <c r="W14" s="10"/>
    </row>
    <row r="15" spans="1:23" s="6" customFormat="1" ht="18.75" x14ac:dyDescent="0.2">
      <c r="A15" s="107"/>
      <c r="B15" s="107"/>
      <c r="C15" s="106">
        <v>2018</v>
      </c>
      <c r="D15" s="106">
        <v>2019</v>
      </c>
      <c r="E15" s="106">
        <v>2020</v>
      </c>
      <c r="F15" s="103">
        <v>2021</v>
      </c>
      <c r="G15" s="104"/>
      <c r="H15" s="109"/>
      <c r="I15" s="103">
        <v>2022</v>
      </c>
      <c r="J15" s="104"/>
      <c r="K15" s="109"/>
      <c r="L15" s="103">
        <v>2023</v>
      </c>
      <c r="M15" s="104"/>
      <c r="N15" s="104"/>
      <c r="O15" s="68"/>
      <c r="P15" s="69"/>
      <c r="Q15" s="69"/>
      <c r="R15" s="69"/>
      <c r="S15" s="69"/>
      <c r="T15" s="69"/>
      <c r="U15" s="69"/>
      <c r="V15" s="69"/>
      <c r="W15" s="69"/>
    </row>
    <row r="16" spans="1:23" s="6" customFormat="1" ht="33.75" customHeight="1" x14ac:dyDescent="0.2">
      <c r="A16" s="107"/>
      <c r="B16" s="107"/>
      <c r="C16" s="107"/>
      <c r="D16" s="107"/>
      <c r="E16" s="107"/>
      <c r="F16" s="17" t="s">
        <v>56</v>
      </c>
      <c r="G16" s="17" t="s">
        <v>55</v>
      </c>
      <c r="H16" s="17" t="s">
        <v>192</v>
      </c>
      <c r="I16" s="17" t="s">
        <v>56</v>
      </c>
      <c r="J16" s="17" t="s">
        <v>55</v>
      </c>
      <c r="K16" s="17" t="s">
        <v>192</v>
      </c>
      <c r="L16" s="17" t="s">
        <v>56</v>
      </c>
      <c r="M16" s="17" t="s">
        <v>55</v>
      </c>
      <c r="N16" s="17" t="s">
        <v>192</v>
      </c>
      <c r="O16" s="27"/>
      <c r="P16" s="19"/>
      <c r="Q16" s="19"/>
      <c r="R16" s="19"/>
      <c r="S16" s="19"/>
      <c r="T16" s="19"/>
      <c r="U16" s="19"/>
      <c r="V16" s="19"/>
      <c r="W16" s="19"/>
    </row>
    <row r="17" spans="1:23" s="6" customFormat="1" ht="26.25" customHeight="1" x14ac:dyDescent="0.2">
      <c r="A17" s="108"/>
      <c r="B17" s="108"/>
      <c r="C17" s="108"/>
      <c r="D17" s="108"/>
      <c r="E17" s="108"/>
      <c r="F17" s="17" t="s">
        <v>57</v>
      </c>
      <c r="G17" s="17" t="s">
        <v>58</v>
      </c>
      <c r="H17" s="66" t="s">
        <v>193</v>
      </c>
      <c r="I17" s="17" t="s">
        <v>57</v>
      </c>
      <c r="J17" s="17" t="s">
        <v>58</v>
      </c>
      <c r="K17" s="66" t="s">
        <v>193</v>
      </c>
      <c r="L17" s="17" t="s">
        <v>57</v>
      </c>
      <c r="M17" s="66" t="s">
        <v>58</v>
      </c>
      <c r="N17" s="66" t="s">
        <v>193</v>
      </c>
      <c r="O17" s="27"/>
      <c r="P17" s="19"/>
      <c r="Q17" s="19"/>
      <c r="R17" s="19"/>
      <c r="S17" s="19"/>
      <c r="T17" s="19"/>
      <c r="U17" s="19"/>
      <c r="V17" s="19"/>
      <c r="W17" s="19"/>
    </row>
    <row r="18" spans="1:23" s="6" customFormat="1" ht="22.5" customHeight="1" x14ac:dyDescent="0.2">
      <c r="A18" s="64" t="s">
        <v>121</v>
      </c>
      <c r="B18" s="77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27"/>
      <c r="P18" s="19"/>
      <c r="Q18" s="19"/>
      <c r="R18" s="19"/>
      <c r="S18" s="19"/>
      <c r="T18" s="19"/>
      <c r="U18" s="19"/>
      <c r="V18" s="19"/>
      <c r="W18" s="19"/>
    </row>
    <row r="19" spans="1:23" s="6" customFormat="1" ht="39" customHeight="1" x14ac:dyDescent="0.2">
      <c r="A19" s="11" t="s">
        <v>122</v>
      </c>
      <c r="B19" s="17" t="s">
        <v>21</v>
      </c>
      <c r="C19" s="17">
        <v>166.5</v>
      </c>
      <c r="D19" s="17">
        <v>165.1</v>
      </c>
      <c r="E19" s="37">
        <v>164</v>
      </c>
      <c r="F19" s="17">
        <v>163.19999999999999</v>
      </c>
      <c r="G19" s="17">
        <v>163.30000000000001</v>
      </c>
      <c r="H19" s="17">
        <v>163.5</v>
      </c>
      <c r="I19" s="17">
        <v>162.5</v>
      </c>
      <c r="J19" s="17">
        <v>162.69999999999999</v>
      </c>
      <c r="K19" s="17">
        <v>162.80000000000001</v>
      </c>
      <c r="L19" s="17">
        <v>161.9</v>
      </c>
      <c r="M19" s="66">
        <v>162.19999999999999</v>
      </c>
      <c r="N19" s="66">
        <v>162.4</v>
      </c>
      <c r="O19" s="27"/>
      <c r="P19" s="19"/>
      <c r="Q19" s="19"/>
      <c r="R19" s="19"/>
      <c r="S19" s="19"/>
      <c r="T19" s="19"/>
      <c r="U19" s="19"/>
      <c r="V19" s="19"/>
      <c r="W19" s="19"/>
    </row>
    <row r="20" spans="1:23" s="6" customFormat="1" ht="63.75" customHeight="1" x14ac:dyDescent="0.2">
      <c r="A20" s="11" t="s">
        <v>123</v>
      </c>
      <c r="B20" s="17" t="s">
        <v>21</v>
      </c>
      <c r="C20" s="36">
        <v>95.6</v>
      </c>
      <c r="D20" s="36">
        <v>94.8</v>
      </c>
      <c r="E20" s="36">
        <v>94</v>
      </c>
      <c r="F20" s="36">
        <v>93</v>
      </c>
      <c r="G20" s="36">
        <v>93.2</v>
      </c>
      <c r="H20" s="36">
        <v>93.3</v>
      </c>
      <c r="I20" s="36">
        <v>92</v>
      </c>
      <c r="J20" s="36">
        <v>92.4</v>
      </c>
      <c r="K20" s="36">
        <v>92.5</v>
      </c>
      <c r="L20" s="36">
        <v>91</v>
      </c>
      <c r="M20" s="38">
        <v>91.2</v>
      </c>
      <c r="N20" s="38">
        <v>91.3</v>
      </c>
      <c r="O20" s="27"/>
      <c r="P20" s="19"/>
      <c r="Q20" s="19"/>
      <c r="R20" s="19"/>
      <c r="S20" s="19"/>
      <c r="T20" s="19"/>
      <c r="U20" s="19"/>
      <c r="V20" s="19"/>
      <c r="W20" s="19"/>
    </row>
    <row r="21" spans="1:23" s="6" customFormat="1" ht="72" customHeight="1" x14ac:dyDescent="0.2">
      <c r="A21" s="11" t="s">
        <v>124</v>
      </c>
      <c r="B21" s="17" t="s">
        <v>21</v>
      </c>
      <c r="C21" s="36">
        <v>41.8</v>
      </c>
      <c r="D21" s="36">
        <v>40.5</v>
      </c>
      <c r="E21" s="36">
        <v>40.5</v>
      </c>
      <c r="F21" s="36">
        <v>42.8</v>
      </c>
      <c r="G21" s="36">
        <v>42.7</v>
      </c>
      <c r="H21" s="36">
        <v>42.6</v>
      </c>
      <c r="I21" s="36">
        <v>43</v>
      </c>
      <c r="J21" s="36">
        <v>42.9</v>
      </c>
      <c r="K21" s="36">
        <v>42.8</v>
      </c>
      <c r="L21" s="36">
        <v>43.1</v>
      </c>
      <c r="M21" s="38">
        <v>43</v>
      </c>
      <c r="N21" s="38">
        <v>42.8</v>
      </c>
      <c r="O21" s="27"/>
      <c r="P21" s="19"/>
      <c r="Q21" s="19"/>
      <c r="R21" s="19"/>
      <c r="S21" s="19"/>
      <c r="T21" s="19"/>
      <c r="U21" s="19"/>
      <c r="V21" s="19"/>
      <c r="W21" s="19"/>
    </row>
    <row r="22" spans="1:23" s="6" customFormat="1" ht="66" customHeight="1" x14ac:dyDescent="0.2">
      <c r="A22" s="11" t="s">
        <v>104</v>
      </c>
      <c r="B22" s="17" t="s">
        <v>105</v>
      </c>
      <c r="C22" s="36">
        <v>74.5</v>
      </c>
      <c r="D22" s="36">
        <v>74.7</v>
      </c>
      <c r="E22" s="36">
        <v>75.040000000000006</v>
      </c>
      <c r="F22" s="36">
        <v>75.040000000000006</v>
      </c>
      <c r="G22" s="36">
        <v>75.5</v>
      </c>
      <c r="H22" s="36">
        <v>75.599999999999994</v>
      </c>
      <c r="I22" s="36">
        <v>75.5</v>
      </c>
      <c r="J22" s="36">
        <v>75.8</v>
      </c>
      <c r="K22" s="36">
        <v>75.900000000000006</v>
      </c>
      <c r="L22" s="36">
        <v>75.8</v>
      </c>
      <c r="M22" s="38">
        <v>76.56</v>
      </c>
      <c r="N22" s="38">
        <v>77.319999999999993</v>
      </c>
      <c r="O22" s="27"/>
      <c r="P22" s="19"/>
      <c r="Q22" s="19"/>
      <c r="R22" s="19"/>
      <c r="S22" s="19"/>
      <c r="T22" s="19"/>
      <c r="U22" s="19"/>
      <c r="V22" s="19"/>
      <c r="W22" s="19"/>
    </row>
    <row r="23" spans="1:23" s="6" customFormat="1" ht="132" customHeight="1" x14ac:dyDescent="0.2">
      <c r="A23" s="11" t="s">
        <v>42</v>
      </c>
      <c r="B23" s="17" t="s">
        <v>125</v>
      </c>
      <c r="C23" s="37">
        <v>9.5</v>
      </c>
      <c r="D23" s="37">
        <v>8.6</v>
      </c>
      <c r="E23" s="37">
        <v>8.6</v>
      </c>
      <c r="F23" s="37">
        <v>8.6</v>
      </c>
      <c r="G23" s="37">
        <v>8.9</v>
      </c>
      <c r="H23" s="37">
        <v>9</v>
      </c>
      <c r="I23" s="37">
        <v>8.6999999999999993</v>
      </c>
      <c r="J23" s="37">
        <v>9</v>
      </c>
      <c r="K23" s="37">
        <v>9.1</v>
      </c>
      <c r="L23" s="37">
        <v>8.9</v>
      </c>
      <c r="M23" s="39">
        <v>9.1999999999999993</v>
      </c>
      <c r="N23" s="39">
        <v>9.3000000000000007</v>
      </c>
      <c r="O23" s="27"/>
      <c r="P23" s="19"/>
      <c r="Q23" s="19"/>
      <c r="R23" s="19"/>
      <c r="S23" s="19"/>
      <c r="T23" s="19"/>
      <c r="U23" s="19"/>
      <c r="V23" s="19"/>
      <c r="W23" s="19"/>
    </row>
    <row r="24" spans="1:23" s="6" customFormat="1" ht="98.25" customHeight="1" x14ac:dyDescent="0.2">
      <c r="A24" s="11" t="s">
        <v>43</v>
      </c>
      <c r="B24" s="17" t="s">
        <v>44</v>
      </c>
      <c r="C24" s="37">
        <v>12</v>
      </c>
      <c r="D24" s="37">
        <v>11.6</v>
      </c>
      <c r="E24" s="37">
        <v>11.4</v>
      </c>
      <c r="F24" s="37">
        <v>11.4</v>
      </c>
      <c r="G24" s="37">
        <v>11.2</v>
      </c>
      <c r="H24" s="37">
        <v>11</v>
      </c>
      <c r="I24" s="37">
        <v>11.2</v>
      </c>
      <c r="J24" s="37">
        <v>11</v>
      </c>
      <c r="K24" s="37">
        <v>11</v>
      </c>
      <c r="L24" s="37">
        <v>11.1</v>
      </c>
      <c r="M24" s="39">
        <v>11</v>
      </c>
      <c r="N24" s="39">
        <v>11</v>
      </c>
      <c r="O24" s="70"/>
      <c r="P24" s="22"/>
      <c r="Q24" s="22"/>
      <c r="R24" s="22"/>
      <c r="S24" s="22"/>
      <c r="T24" s="22"/>
      <c r="U24" s="22"/>
      <c r="V24" s="22"/>
      <c r="W24" s="22"/>
    </row>
    <row r="25" spans="1:23" s="6" customFormat="1" ht="78" customHeight="1" x14ac:dyDescent="0.2">
      <c r="A25" s="11" t="s">
        <v>45</v>
      </c>
      <c r="B25" s="17" t="s">
        <v>46</v>
      </c>
      <c r="C25" s="37">
        <v>-2.5</v>
      </c>
      <c r="D25" s="37">
        <v>-3</v>
      </c>
      <c r="E25" s="37">
        <v>-2.8</v>
      </c>
      <c r="F25" s="37">
        <v>-2.8</v>
      </c>
      <c r="G25" s="37">
        <v>-2.2999999999999998</v>
      </c>
      <c r="H25" s="37">
        <v>-2</v>
      </c>
      <c r="I25" s="37">
        <v>-2.5</v>
      </c>
      <c r="J25" s="37">
        <v>-2</v>
      </c>
      <c r="K25" s="37">
        <v>-1.9</v>
      </c>
      <c r="L25" s="37">
        <v>-2.2000000000000002</v>
      </c>
      <c r="M25" s="39">
        <v>-1.8</v>
      </c>
      <c r="N25" s="39">
        <v>-1.7</v>
      </c>
      <c r="O25" s="27"/>
      <c r="P25" s="19"/>
      <c r="Q25" s="19"/>
      <c r="R25" s="19"/>
      <c r="S25" s="19"/>
      <c r="T25" s="19"/>
      <c r="U25" s="19"/>
      <c r="V25" s="19"/>
      <c r="W25" s="19"/>
    </row>
    <row r="26" spans="1:23" s="6" customFormat="1" ht="47.25" customHeight="1" x14ac:dyDescent="0.2">
      <c r="A26" s="11" t="s">
        <v>106</v>
      </c>
      <c r="B26" s="17" t="s">
        <v>21</v>
      </c>
      <c r="C26" s="37">
        <v>-1</v>
      </c>
      <c r="D26" s="37">
        <v>-0.85</v>
      </c>
      <c r="E26" s="37">
        <v>-0.8</v>
      </c>
      <c r="F26" s="37">
        <v>-0.8</v>
      </c>
      <c r="G26" s="37">
        <v>-0.7</v>
      </c>
      <c r="H26" s="37">
        <v>-0.5</v>
      </c>
      <c r="I26" s="37">
        <v>-0.6</v>
      </c>
      <c r="J26" s="37">
        <v>-0.5</v>
      </c>
      <c r="K26" s="37">
        <v>-0.4</v>
      </c>
      <c r="L26" s="37">
        <v>-0.6</v>
      </c>
      <c r="M26" s="39">
        <v>-0.5</v>
      </c>
      <c r="N26" s="39">
        <v>-0.5</v>
      </c>
      <c r="O26" s="27"/>
      <c r="P26" s="19"/>
      <c r="Q26" s="19"/>
      <c r="R26" s="19"/>
      <c r="S26" s="19"/>
      <c r="T26" s="19"/>
      <c r="U26" s="19"/>
      <c r="V26" s="19"/>
      <c r="W26" s="19"/>
    </row>
    <row r="27" spans="1:23" s="6" customFormat="1" ht="18.75" customHeight="1" x14ac:dyDescent="0.2">
      <c r="A27" s="64" t="s">
        <v>126</v>
      </c>
      <c r="B27" s="78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27"/>
      <c r="P27" s="19"/>
      <c r="Q27" s="19"/>
      <c r="R27" s="19"/>
      <c r="S27" s="19"/>
      <c r="T27" s="19"/>
      <c r="U27" s="19"/>
      <c r="V27" s="19"/>
      <c r="W27" s="19"/>
    </row>
    <row r="28" spans="1:23" s="6" customFormat="1" ht="115.5" customHeight="1" x14ac:dyDescent="0.2">
      <c r="A28" s="12" t="s">
        <v>49</v>
      </c>
      <c r="B28" s="1" t="s">
        <v>47</v>
      </c>
      <c r="C28" s="17">
        <v>7693.8</v>
      </c>
      <c r="D28" s="17">
        <v>7109.3</v>
      </c>
      <c r="E28" s="37">
        <f>D28*E29/100*98.5%</f>
        <v>7177.7270125000005</v>
      </c>
      <c r="F28" s="37">
        <f>E28*F29/100*104.3%</f>
        <v>7658.5557673403628</v>
      </c>
      <c r="G28" s="37">
        <f>E28*G29/100*104.8%</f>
        <v>7823.1482254640005</v>
      </c>
      <c r="H28" s="37">
        <v>7860.7</v>
      </c>
      <c r="I28" s="37">
        <f>F28*I29/100*103.4%</f>
        <v>8116.9203300156842</v>
      </c>
      <c r="J28" s="37">
        <f>G28*J29/100*103.6%</f>
        <v>8388.4489162360296</v>
      </c>
      <c r="K28" s="37">
        <v>8469.4</v>
      </c>
      <c r="L28" s="37">
        <f>I28*L29/100*103.5%</f>
        <v>8619.4388676469534</v>
      </c>
      <c r="M28" s="39">
        <f>I28*M29/100*103.7%</f>
        <v>8720.26725198641</v>
      </c>
      <c r="N28" s="39">
        <f>J28*N29/100*103.7%</f>
        <v>9046.7743871822331</v>
      </c>
      <c r="O28" s="27"/>
      <c r="P28" s="19"/>
      <c r="Q28" s="19"/>
      <c r="R28" s="19"/>
      <c r="S28" s="19"/>
      <c r="T28" s="19"/>
      <c r="U28" s="19"/>
      <c r="V28" s="19"/>
      <c r="W28" s="19"/>
    </row>
    <row r="29" spans="1:23" s="6" customFormat="1" ht="105.75" customHeight="1" x14ac:dyDescent="0.2">
      <c r="A29" s="12" t="s">
        <v>50</v>
      </c>
      <c r="B29" s="1" t="s">
        <v>35</v>
      </c>
      <c r="C29" s="17">
        <v>140</v>
      </c>
      <c r="D29" s="17">
        <v>92.4</v>
      </c>
      <c r="E29" s="17">
        <v>102.5</v>
      </c>
      <c r="F29" s="17">
        <v>102.3</v>
      </c>
      <c r="G29" s="17">
        <v>104</v>
      </c>
      <c r="H29" s="17">
        <v>104.5</v>
      </c>
      <c r="I29" s="17">
        <v>102.5</v>
      </c>
      <c r="J29" s="17">
        <v>103.5</v>
      </c>
      <c r="K29" s="17">
        <v>104</v>
      </c>
      <c r="L29" s="17">
        <v>102.6</v>
      </c>
      <c r="M29" s="66">
        <v>103.6</v>
      </c>
      <c r="N29" s="66">
        <v>104</v>
      </c>
      <c r="O29" s="27"/>
      <c r="P29" s="19"/>
      <c r="Q29" s="19"/>
      <c r="R29" s="19"/>
      <c r="S29" s="19"/>
      <c r="T29" s="19"/>
      <c r="U29" s="19"/>
      <c r="V29" s="19"/>
      <c r="W29" s="19"/>
    </row>
    <row r="30" spans="1:23" s="6" customFormat="1" ht="104.25" customHeight="1" x14ac:dyDescent="0.2">
      <c r="A30" s="12" t="s">
        <v>64</v>
      </c>
      <c r="B30" s="1" t="s">
        <v>47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66"/>
      <c r="N30" s="66"/>
      <c r="O30" s="27"/>
      <c r="P30" s="19"/>
      <c r="Q30" s="19"/>
      <c r="R30" s="19"/>
      <c r="S30" s="19"/>
      <c r="T30" s="19"/>
      <c r="U30" s="19"/>
      <c r="V30" s="19"/>
      <c r="W30" s="19"/>
    </row>
    <row r="31" spans="1:23" s="6" customFormat="1" ht="93.75" customHeight="1" x14ac:dyDescent="0.2">
      <c r="A31" s="12" t="s">
        <v>65</v>
      </c>
      <c r="B31" s="1" t="s">
        <v>35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66"/>
      <c r="N31" s="66"/>
      <c r="O31" s="27"/>
      <c r="P31" s="19"/>
      <c r="Q31" s="19"/>
      <c r="R31" s="19"/>
      <c r="S31" s="19"/>
      <c r="T31" s="19"/>
      <c r="U31" s="19"/>
      <c r="V31" s="19"/>
      <c r="W31" s="19"/>
    </row>
    <row r="32" spans="1:23" s="6" customFormat="1" ht="109.5" customHeight="1" x14ac:dyDescent="0.2">
      <c r="A32" s="12" t="s">
        <v>66</v>
      </c>
      <c r="B32" s="13" t="s">
        <v>47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66"/>
      <c r="N32" s="66"/>
      <c r="O32" s="27"/>
      <c r="P32" s="19"/>
      <c r="Q32" s="19"/>
      <c r="R32" s="19"/>
      <c r="S32" s="19"/>
      <c r="T32" s="19"/>
      <c r="U32" s="19"/>
      <c r="V32" s="19"/>
      <c r="W32" s="19"/>
    </row>
    <row r="33" spans="1:23" s="6" customFormat="1" ht="102" customHeight="1" x14ac:dyDescent="0.2">
      <c r="A33" s="12" t="s">
        <v>67</v>
      </c>
      <c r="B33" s="13" t="s">
        <v>35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66"/>
      <c r="N33" s="66"/>
      <c r="O33" s="27"/>
      <c r="P33" s="19"/>
      <c r="Q33" s="19"/>
      <c r="R33" s="19"/>
      <c r="S33" s="19"/>
      <c r="T33" s="19"/>
      <c r="U33" s="19"/>
      <c r="V33" s="19"/>
      <c r="W33" s="19"/>
    </row>
    <row r="34" spans="1:23" s="6" customFormat="1" ht="102.75" customHeight="1" x14ac:dyDescent="0.2">
      <c r="A34" s="12" t="s">
        <v>68</v>
      </c>
      <c r="B34" s="13" t="s">
        <v>47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66"/>
      <c r="N34" s="66"/>
      <c r="O34" s="27"/>
      <c r="P34" s="19"/>
      <c r="Q34" s="19"/>
      <c r="R34" s="19"/>
      <c r="S34" s="19"/>
      <c r="T34" s="19"/>
      <c r="U34" s="19"/>
      <c r="V34" s="19"/>
      <c r="W34" s="19"/>
    </row>
    <row r="35" spans="1:23" s="6" customFormat="1" ht="103.5" customHeight="1" x14ac:dyDescent="0.2">
      <c r="A35" s="12" t="s">
        <v>69</v>
      </c>
      <c r="B35" s="13" t="s">
        <v>35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66"/>
      <c r="N35" s="66"/>
      <c r="O35" s="27"/>
      <c r="P35" s="19"/>
      <c r="Q35" s="19"/>
      <c r="R35" s="19"/>
      <c r="S35" s="19"/>
      <c r="T35" s="19"/>
      <c r="U35" s="19"/>
      <c r="V35" s="19"/>
      <c r="W35" s="19"/>
    </row>
    <row r="36" spans="1:23" s="6" customFormat="1" ht="137.25" customHeight="1" x14ac:dyDescent="0.2">
      <c r="A36" s="12" t="s">
        <v>70</v>
      </c>
      <c r="B36" s="13" t="s">
        <v>47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66"/>
      <c r="N36" s="66"/>
      <c r="O36" s="27"/>
      <c r="P36" s="19"/>
      <c r="Q36" s="19"/>
      <c r="R36" s="19"/>
      <c r="S36" s="19"/>
      <c r="T36" s="19"/>
      <c r="U36" s="19"/>
      <c r="V36" s="19"/>
      <c r="W36" s="19"/>
    </row>
    <row r="37" spans="1:23" s="6" customFormat="1" ht="137.25" customHeight="1" x14ac:dyDescent="0.2">
      <c r="A37" s="12" t="s">
        <v>60</v>
      </c>
      <c r="B37" s="13" t="s">
        <v>35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66"/>
      <c r="N37" s="66"/>
      <c r="O37" s="27"/>
      <c r="P37" s="19"/>
      <c r="Q37" s="19"/>
      <c r="R37" s="19"/>
      <c r="S37" s="19"/>
      <c r="T37" s="19"/>
      <c r="U37" s="19"/>
      <c r="V37" s="19"/>
      <c r="W37" s="19"/>
    </row>
    <row r="38" spans="1:23" s="6" customFormat="1" ht="137.25" customHeight="1" x14ac:dyDescent="0.2">
      <c r="A38" s="12" t="s">
        <v>71</v>
      </c>
      <c r="B38" s="13" t="s">
        <v>47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66"/>
      <c r="N38" s="66"/>
      <c r="O38" s="27"/>
      <c r="P38" s="19"/>
      <c r="Q38" s="19"/>
      <c r="R38" s="19"/>
      <c r="S38" s="19"/>
      <c r="T38" s="19"/>
      <c r="U38" s="19"/>
      <c r="V38" s="19"/>
      <c r="W38" s="19"/>
    </row>
    <row r="39" spans="1:23" s="6" customFormat="1" ht="105.75" customHeight="1" x14ac:dyDescent="0.2">
      <c r="A39" s="12" t="s">
        <v>72</v>
      </c>
      <c r="B39" s="13" t="s">
        <v>35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66"/>
      <c r="N39" s="66"/>
      <c r="O39" s="27"/>
      <c r="P39" s="19"/>
      <c r="Q39" s="19"/>
      <c r="R39" s="19"/>
      <c r="S39" s="19"/>
      <c r="T39" s="19"/>
      <c r="U39" s="19"/>
      <c r="V39" s="19"/>
      <c r="W39" s="19"/>
    </row>
    <row r="40" spans="1:23" s="6" customFormat="1" ht="159.75" customHeight="1" x14ac:dyDescent="0.2">
      <c r="A40" s="12" t="s">
        <v>73</v>
      </c>
      <c r="B40" s="1" t="s">
        <v>47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66"/>
      <c r="N40" s="66"/>
      <c r="O40" s="27"/>
      <c r="P40" s="19"/>
      <c r="Q40" s="19"/>
      <c r="R40" s="19"/>
      <c r="S40" s="19"/>
      <c r="T40" s="19"/>
      <c r="U40" s="19"/>
      <c r="V40" s="19"/>
      <c r="W40" s="19"/>
    </row>
    <row r="41" spans="1:23" s="6" customFormat="1" ht="137.25" customHeight="1" x14ac:dyDescent="0.2">
      <c r="A41" s="12" t="s">
        <v>74</v>
      </c>
      <c r="B41" s="1" t="s">
        <v>35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66"/>
      <c r="N41" s="66"/>
      <c r="O41" s="27"/>
      <c r="P41" s="19"/>
      <c r="Q41" s="19"/>
      <c r="R41" s="19"/>
      <c r="S41" s="19"/>
      <c r="T41" s="19"/>
      <c r="U41" s="19"/>
      <c r="V41" s="19"/>
      <c r="W41" s="19"/>
    </row>
    <row r="42" spans="1:23" s="6" customFormat="1" ht="137.25" customHeight="1" x14ac:dyDescent="0.2">
      <c r="A42" s="12" t="s">
        <v>61</v>
      </c>
      <c r="B42" s="1" t="s">
        <v>47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66"/>
      <c r="N42" s="66"/>
      <c r="O42" s="27"/>
      <c r="P42" s="19"/>
      <c r="Q42" s="19"/>
      <c r="R42" s="19"/>
      <c r="S42" s="19"/>
      <c r="T42" s="19"/>
      <c r="U42" s="19"/>
      <c r="V42" s="19"/>
      <c r="W42" s="19"/>
    </row>
    <row r="43" spans="1:23" s="6" customFormat="1" ht="110.25" customHeight="1" x14ac:dyDescent="0.2">
      <c r="A43" s="12" t="s">
        <v>62</v>
      </c>
      <c r="B43" s="1" t="s">
        <v>35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66"/>
      <c r="N43" s="66"/>
      <c r="O43" s="27"/>
      <c r="P43" s="19"/>
      <c r="Q43" s="19"/>
      <c r="R43" s="19"/>
      <c r="S43" s="19"/>
      <c r="T43" s="19"/>
      <c r="U43" s="19"/>
      <c r="V43" s="19"/>
      <c r="W43" s="19"/>
    </row>
    <row r="44" spans="1:23" s="6" customFormat="1" ht="147" customHeight="1" x14ac:dyDescent="0.2">
      <c r="A44" s="12" t="s">
        <v>63</v>
      </c>
      <c r="B44" s="13" t="s">
        <v>47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66"/>
      <c r="N44" s="66"/>
      <c r="O44" s="27"/>
      <c r="P44" s="19"/>
      <c r="Q44" s="19"/>
      <c r="R44" s="19"/>
      <c r="S44" s="19"/>
      <c r="T44" s="19"/>
      <c r="U44" s="19"/>
      <c r="V44" s="19"/>
      <c r="W44" s="19"/>
    </row>
    <row r="45" spans="1:23" s="6" customFormat="1" ht="120" customHeight="1" x14ac:dyDescent="0.2">
      <c r="A45" s="12" t="s">
        <v>75</v>
      </c>
      <c r="B45" s="13" t="s">
        <v>35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66"/>
      <c r="N45" s="66"/>
      <c r="O45" s="27"/>
      <c r="P45" s="19"/>
      <c r="Q45" s="19"/>
      <c r="R45" s="19"/>
      <c r="S45" s="19"/>
      <c r="T45" s="19"/>
      <c r="U45" s="19"/>
      <c r="V45" s="19"/>
      <c r="W45" s="19"/>
    </row>
    <row r="46" spans="1:23" s="6" customFormat="1" ht="134.25" customHeight="1" x14ac:dyDescent="0.2">
      <c r="A46" s="12" t="s">
        <v>97</v>
      </c>
      <c r="B46" s="1" t="s">
        <v>47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66"/>
      <c r="N46" s="66"/>
      <c r="O46" s="27"/>
      <c r="P46" s="19"/>
      <c r="Q46" s="19"/>
      <c r="R46" s="19"/>
      <c r="S46" s="19"/>
      <c r="T46" s="19"/>
      <c r="U46" s="19"/>
      <c r="V46" s="19"/>
      <c r="W46" s="19"/>
    </row>
    <row r="47" spans="1:23" s="6" customFormat="1" ht="108.75" customHeight="1" x14ac:dyDescent="0.2">
      <c r="A47" s="12" t="s">
        <v>98</v>
      </c>
      <c r="B47" s="1" t="s">
        <v>35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66"/>
      <c r="N47" s="66"/>
      <c r="O47" s="27"/>
      <c r="P47" s="19"/>
      <c r="Q47" s="19"/>
      <c r="R47" s="19"/>
      <c r="S47" s="19"/>
      <c r="T47" s="19"/>
      <c r="U47" s="19"/>
      <c r="V47" s="19"/>
      <c r="W47" s="19"/>
    </row>
    <row r="48" spans="1:23" s="6" customFormat="1" ht="158.25" customHeight="1" x14ac:dyDescent="0.2">
      <c r="A48" s="12" t="s">
        <v>76</v>
      </c>
      <c r="B48" s="13" t="s">
        <v>47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66"/>
      <c r="N48" s="66"/>
      <c r="O48" s="27"/>
      <c r="P48" s="19"/>
      <c r="Q48" s="19"/>
      <c r="R48" s="19"/>
      <c r="S48" s="19"/>
      <c r="T48" s="19"/>
      <c r="U48" s="19"/>
      <c r="V48" s="19"/>
      <c r="W48" s="19"/>
    </row>
    <row r="49" spans="1:23" s="6" customFormat="1" ht="120.75" customHeight="1" x14ac:dyDescent="0.2">
      <c r="A49" s="12" t="s">
        <v>77</v>
      </c>
      <c r="B49" s="13" t="s">
        <v>35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66"/>
      <c r="N49" s="66"/>
      <c r="O49" s="27"/>
      <c r="P49" s="19"/>
      <c r="Q49" s="19"/>
      <c r="R49" s="19"/>
      <c r="S49" s="19"/>
      <c r="T49" s="19"/>
      <c r="U49" s="19"/>
      <c r="V49" s="19"/>
      <c r="W49" s="19"/>
    </row>
    <row r="50" spans="1:23" s="6" customFormat="1" ht="137.25" customHeight="1" x14ac:dyDescent="0.2">
      <c r="A50" s="12" t="s">
        <v>78</v>
      </c>
      <c r="B50" s="1" t="s">
        <v>47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66"/>
      <c r="N50" s="66"/>
      <c r="O50" s="27"/>
      <c r="P50" s="19"/>
      <c r="Q50" s="19"/>
      <c r="R50" s="19"/>
      <c r="S50" s="19"/>
      <c r="T50" s="19"/>
      <c r="U50" s="19"/>
      <c r="V50" s="19"/>
      <c r="W50" s="19"/>
    </row>
    <row r="51" spans="1:23" s="6" customFormat="1" ht="125.25" customHeight="1" x14ac:dyDescent="0.2">
      <c r="A51" s="12" t="s">
        <v>79</v>
      </c>
      <c r="B51" s="1" t="s">
        <v>35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66"/>
      <c r="N51" s="66"/>
      <c r="O51" s="27"/>
      <c r="P51" s="19"/>
      <c r="Q51" s="19"/>
      <c r="R51" s="19"/>
      <c r="S51" s="19"/>
      <c r="T51" s="19"/>
      <c r="U51" s="19"/>
      <c r="V51" s="19"/>
      <c r="W51" s="19"/>
    </row>
    <row r="52" spans="1:23" s="6" customFormat="1" ht="137.25" customHeight="1" x14ac:dyDescent="0.2">
      <c r="A52" s="12" t="s">
        <v>80</v>
      </c>
      <c r="B52" s="1" t="s">
        <v>47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66"/>
      <c r="N52" s="66"/>
      <c r="O52" s="27"/>
      <c r="P52" s="19"/>
      <c r="Q52" s="19"/>
      <c r="R52" s="19"/>
      <c r="S52" s="19"/>
      <c r="T52" s="19"/>
      <c r="U52" s="19"/>
      <c r="V52" s="19"/>
      <c r="W52" s="19"/>
    </row>
    <row r="53" spans="1:23" s="6" customFormat="1" ht="137.25" customHeight="1" x14ac:dyDescent="0.2">
      <c r="A53" s="12" t="s">
        <v>81</v>
      </c>
      <c r="B53" s="1" t="s">
        <v>35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66"/>
      <c r="N53" s="66"/>
      <c r="O53" s="27"/>
      <c r="P53" s="19"/>
      <c r="Q53" s="19"/>
      <c r="R53" s="19"/>
      <c r="S53" s="19"/>
      <c r="T53" s="19"/>
      <c r="U53" s="19"/>
      <c r="V53" s="19"/>
      <c r="W53" s="19"/>
    </row>
    <row r="54" spans="1:23" s="6" customFormat="1" ht="114.75" customHeight="1" x14ac:dyDescent="0.2">
      <c r="A54" s="12" t="s">
        <v>82</v>
      </c>
      <c r="B54" s="1" t="s">
        <v>47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66"/>
      <c r="N54" s="66"/>
      <c r="O54" s="27"/>
      <c r="P54" s="19"/>
      <c r="Q54" s="19"/>
      <c r="R54" s="19"/>
      <c r="S54" s="19"/>
      <c r="T54" s="19"/>
      <c r="U54" s="19"/>
      <c r="V54" s="19"/>
      <c r="W54" s="19"/>
    </row>
    <row r="55" spans="1:23" s="6" customFormat="1" ht="111" customHeight="1" x14ac:dyDescent="0.2">
      <c r="A55" s="12" t="s">
        <v>83</v>
      </c>
      <c r="B55" s="1" t="s">
        <v>35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66"/>
      <c r="N55" s="66"/>
      <c r="O55" s="27"/>
      <c r="P55" s="19"/>
      <c r="Q55" s="19"/>
      <c r="R55" s="19"/>
      <c r="S55" s="19"/>
      <c r="T55" s="19"/>
      <c r="U55" s="19"/>
      <c r="V55" s="19"/>
      <c r="W55" s="19"/>
    </row>
    <row r="56" spans="1:23" s="6" customFormat="1" ht="141.75" customHeight="1" x14ac:dyDescent="0.2">
      <c r="A56" s="12" t="s">
        <v>84</v>
      </c>
      <c r="B56" s="13" t="s">
        <v>47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66"/>
      <c r="N56" s="66"/>
      <c r="O56" s="27"/>
      <c r="P56" s="19"/>
      <c r="Q56" s="19"/>
      <c r="R56" s="19"/>
      <c r="S56" s="19"/>
      <c r="T56" s="19"/>
      <c r="U56" s="19"/>
      <c r="V56" s="19"/>
      <c r="W56" s="19"/>
    </row>
    <row r="57" spans="1:23" s="6" customFormat="1" ht="137.25" customHeight="1" x14ac:dyDescent="0.2">
      <c r="A57" s="12" t="s">
        <v>85</v>
      </c>
      <c r="B57" s="13" t="s">
        <v>35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66"/>
      <c r="N57" s="66"/>
      <c r="O57" s="27"/>
      <c r="P57" s="19"/>
      <c r="Q57" s="19"/>
      <c r="R57" s="19"/>
      <c r="S57" s="19"/>
      <c r="T57" s="19"/>
      <c r="U57" s="19"/>
      <c r="V57" s="19"/>
      <c r="W57" s="19"/>
    </row>
    <row r="58" spans="1:23" s="6" customFormat="1" ht="150" customHeight="1" x14ac:dyDescent="0.2">
      <c r="A58" s="12" t="s">
        <v>86</v>
      </c>
      <c r="B58" s="13" t="s">
        <v>47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66"/>
      <c r="N58" s="66"/>
      <c r="O58" s="27"/>
      <c r="P58" s="19"/>
      <c r="Q58" s="19"/>
      <c r="R58" s="19"/>
      <c r="S58" s="19"/>
      <c r="T58" s="19"/>
      <c r="U58" s="19"/>
      <c r="V58" s="19"/>
      <c r="W58" s="19"/>
    </row>
    <row r="59" spans="1:23" s="6" customFormat="1" ht="137.25" customHeight="1" x14ac:dyDescent="0.2">
      <c r="A59" s="12" t="s">
        <v>87</v>
      </c>
      <c r="B59" s="13" t="s">
        <v>35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66"/>
      <c r="N59" s="66"/>
      <c r="O59" s="27"/>
      <c r="P59" s="19"/>
      <c r="Q59" s="19"/>
      <c r="R59" s="19"/>
      <c r="S59" s="19"/>
      <c r="T59" s="19"/>
      <c r="U59" s="19"/>
      <c r="V59" s="19"/>
      <c r="W59" s="19"/>
    </row>
    <row r="60" spans="1:23" s="6" customFormat="1" ht="145.5" customHeight="1" x14ac:dyDescent="0.2">
      <c r="A60" s="12" t="s">
        <v>88</v>
      </c>
      <c r="B60" s="1" t="s">
        <v>47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66"/>
      <c r="N60" s="66"/>
      <c r="O60" s="27"/>
      <c r="P60" s="19"/>
      <c r="Q60" s="19"/>
      <c r="R60" s="19"/>
      <c r="S60" s="19"/>
      <c r="T60" s="19"/>
      <c r="U60" s="19"/>
      <c r="V60" s="19"/>
      <c r="W60" s="19"/>
    </row>
    <row r="61" spans="1:23" s="6" customFormat="1" ht="119.25" customHeight="1" x14ac:dyDescent="0.2">
      <c r="A61" s="12" t="s">
        <v>89</v>
      </c>
      <c r="B61" s="1" t="s">
        <v>35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66"/>
      <c r="N61" s="66"/>
      <c r="O61" s="27"/>
      <c r="P61" s="19"/>
      <c r="Q61" s="19"/>
      <c r="R61" s="19"/>
      <c r="S61" s="19"/>
      <c r="T61" s="19"/>
      <c r="U61" s="19"/>
      <c r="V61" s="19"/>
      <c r="W61" s="19"/>
    </row>
    <row r="62" spans="1:23" s="6" customFormat="1" ht="147.75" customHeight="1" x14ac:dyDescent="0.2">
      <c r="A62" s="12" t="s">
        <v>90</v>
      </c>
      <c r="B62" s="13" t="s">
        <v>47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66"/>
      <c r="N62" s="66"/>
      <c r="O62" s="27"/>
      <c r="P62" s="19"/>
      <c r="Q62" s="19"/>
      <c r="R62" s="19"/>
      <c r="S62" s="19"/>
      <c r="T62" s="19"/>
      <c r="U62" s="19"/>
      <c r="V62" s="19"/>
      <c r="W62" s="19"/>
    </row>
    <row r="63" spans="1:23" s="6" customFormat="1" ht="137.25" customHeight="1" x14ac:dyDescent="0.2">
      <c r="A63" s="12" t="s">
        <v>91</v>
      </c>
      <c r="B63" s="13" t="s">
        <v>35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66"/>
      <c r="N63" s="66"/>
      <c r="O63" s="27"/>
      <c r="P63" s="19"/>
      <c r="Q63" s="19"/>
      <c r="R63" s="19"/>
      <c r="S63" s="19"/>
      <c r="T63" s="19"/>
      <c r="U63" s="19"/>
      <c r="V63" s="19"/>
      <c r="W63" s="19"/>
    </row>
    <row r="64" spans="1:23" s="6" customFormat="1" ht="119.25" customHeight="1" x14ac:dyDescent="0.2">
      <c r="A64" s="12" t="s">
        <v>92</v>
      </c>
      <c r="B64" s="13" t="s">
        <v>47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66"/>
      <c r="N64" s="66"/>
      <c r="O64" s="27"/>
      <c r="P64" s="19"/>
      <c r="Q64" s="19"/>
      <c r="R64" s="19"/>
      <c r="S64" s="19"/>
      <c r="T64" s="19"/>
      <c r="U64" s="19"/>
      <c r="V64" s="19"/>
      <c r="W64" s="19"/>
    </row>
    <row r="65" spans="1:23" s="6" customFormat="1" ht="137.25" customHeight="1" x14ac:dyDescent="0.2">
      <c r="A65" s="12" t="s">
        <v>93</v>
      </c>
      <c r="B65" s="13" t="s">
        <v>35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66"/>
      <c r="N65" s="66"/>
      <c r="O65" s="70"/>
      <c r="P65" s="22"/>
      <c r="Q65" s="22"/>
      <c r="R65" s="22"/>
      <c r="S65" s="22"/>
      <c r="T65" s="22"/>
      <c r="U65" s="22"/>
      <c r="V65" s="22"/>
      <c r="W65" s="22"/>
    </row>
    <row r="66" spans="1:23" s="6" customFormat="1" ht="123" customHeight="1" x14ac:dyDescent="0.2">
      <c r="A66" s="12" t="s">
        <v>94</v>
      </c>
      <c r="B66" s="13" t="s">
        <v>47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66"/>
      <c r="N66" s="66"/>
      <c r="O66" s="27"/>
      <c r="P66" s="19"/>
      <c r="Q66" s="19"/>
      <c r="R66" s="19"/>
      <c r="S66" s="19"/>
      <c r="T66" s="19"/>
      <c r="U66" s="19"/>
      <c r="V66" s="19"/>
      <c r="W66" s="19"/>
    </row>
    <row r="67" spans="1:23" s="6" customFormat="1" ht="137.25" customHeight="1" x14ac:dyDescent="0.2">
      <c r="A67" s="12" t="s">
        <v>95</v>
      </c>
      <c r="B67" s="13" t="s">
        <v>35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66"/>
      <c r="N67" s="66"/>
      <c r="O67" s="27"/>
      <c r="P67" s="19"/>
      <c r="Q67" s="19"/>
      <c r="R67" s="19"/>
      <c r="S67" s="19"/>
      <c r="T67" s="19"/>
      <c r="U67" s="19"/>
      <c r="V67" s="19"/>
      <c r="W67" s="19"/>
    </row>
    <row r="68" spans="1:23" s="6" customFormat="1" ht="27.75" customHeight="1" x14ac:dyDescent="0.2">
      <c r="A68" s="101" t="s">
        <v>51</v>
      </c>
      <c r="B68" s="102"/>
      <c r="C68" s="102"/>
      <c r="D68" s="102"/>
      <c r="E68" s="102"/>
      <c r="F68" s="63"/>
      <c r="G68" s="63"/>
      <c r="H68" s="63"/>
      <c r="I68" s="63"/>
      <c r="J68" s="63"/>
      <c r="K68" s="63"/>
      <c r="L68" s="63"/>
      <c r="M68" s="63"/>
      <c r="N68" s="63"/>
      <c r="O68" s="71"/>
      <c r="P68" s="72"/>
      <c r="Q68" s="72"/>
      <c r="R68" s="72"/>
      <c r="S68" s="72"/>
      <c r="T68" s="72"/>
      <c r="U68" s="72"/>
      <c r="V68" s="72"/>
      <c r="W68" s="72"/>
    </row>
    <row r="69" spans="1:23" s="6" customFormat="1" ht="140.25" customHeight="1" x14ac:dyDescent="0.2">
      <c r="A69" s="12" t="s">
        <v>96</v>
      </c>
      <c r="B69" s="13" t="s">
        <v>47</v>
      </c>
      <c r="C69" s="17">
        <v>656.9</v>
      </c>
      <c r="D69" s="17">
        <v>696.1</v>
      </c>
      <c r="E69" s="37">
        <f>D69*E70/100*103.2%</f>
        <v>725.55895200000009</v>
      </c>
      <c r="F69" s="37">
        <f>E69*F70/100*104%</f>
        <v>765.90002973120022</v>
      </c>
      <c r="G69" s="37">
        <f>E69*G70/100*104%</f>
        <v>769.67293628160007</v>
      </c>
      <c r="H69" s="37">
        <v>773.5</v>
      </c>
      <c r="I69" s="37">
        <f>F69*I70/100*104%</f>
        <v>808.484071384255</v>
      </c>
      <c r="J69" s="37">
        <f>G69*J70/100*104%</f>
        <v>816.46905080752128</v>
      </c>
      <c r="K69" s="37">
        <v>824.5</v>
      </c>
      <c r="L69" s="37">
        <f>I69*L70/100*104%</f>
        <v>855.11743262169887</v>
      </c>
      <c r="M69" s="39">
        <f>I69*M70/100*104%</f>
        <v>861.84402009561586</v>
      </c>
      <c r="N69" s="39">
        <f>J69*N70/100*104%</f>
        <v>870.35600816081774</v>
      </c>
      <c r="O69" s="27"/>
      <c r="P69" s="19"/>
      <c r="Q69" s="19"/>
      <c r="R69" s="19"/>
      <c r="S69" s="19"/>
      <c r="T69" s="19"/>
      <c r="U69" s="19"/>
      <c r="V69" s="19"/>
      <c r="W69" s="19"/>
    </row>
    <row r="70" spans="1:23" s="6" customFormat="1" ht="83.25" customHeight="1" x14ac:dyDescent="0.2">
      <c r="A70" s="12" t="s">
        <v>59</v>
      </c>
      <c r="B70" s="13" t="s">
        <v>35</v>
      </c>
      <c r="C70" s="17">
        <v>101.4</v>
      </c>
      <c r="D70" s="37">
        <v>106</v>
      </c>
      <c r="E70" s="37">
        <v>101</v>
      </c>
      <c r="F70" s="37">
        <v>101.5</v>
      </c>
      <c r="G70" s="37">
        <v>102</v>
      </c>
      <c r="H70" s="37">
        <v>102.5</v>
      </c>
      <c r="I70" s="37">
        <v>101.5</v>
      </c>
      <c r="J70" s="37">
        <v>102</v>
      </c>
      <c r="K70" s="37">
        <v>102.5</v>
      </c>
      <c r="L70" s="37">
        <v>101.7</v>
      </c>
      <c r="M70" s="39">
        <v>102.5</v>
      </c>
      <c r="N70" s="39">
        <v>102.5</v>
      </c>
      <c r="O70" s="27"/>
      <c r="P70" s="19"/>
      <c r="Q70" s="19"/>
      <c r="R70" s="19"/>
      <c r="S70" s="19"/>
      <c r="T70" s="19"/>
      <c r="U70" s="19"/>
      <c r="V70" s="19"/>
      <c r="W70" s="19"/>
    </row>
    <row r="71" spans="1:23" s="6" customFormat="1" ht="24.75" customHeight="1" x14ac:dyDescent="0.2">
      <c r="A71" s="101" t="s">
        <v>54</v>
      </c>
      <c r="B71" s="102"/>
      <c r="C71" s="102"/>
      <c r="D71" s="102"/>
      <c r="E71" s="102"/>
      <c r="F71" s="102"/>
      <c r="G71" s="102"/>
      <c r="H71" s="102"/>
      <c r="I71" s="102"/>
      <c r="J71" s="63"/>
      <c r="K71" s="63"/>
      <c r="L71" s="63"/>
      <c r="M71" s="63"/>
      <c r="N71" s="63"/>
      <c r="O71" s="70"/>
      <c r="P71" s="22"/>
      <c r="Q71" s="22"/>
      <c r="R71" s="22"/>
      <c r="S71" s="22"/>
      <c r="T71" s="22"/>
      <c r="U71" s="22"/>
      <c r="V71" s="22"/>
      <c r="W71" s="22"/>
    </row>
    <row r="72" spans="1:23" s="6" customFormat="1" ht="157.5" customHeight="1" x14ac:dyDescent="0.2">
      <c r="A72" s="12" t="s">
        <v>52</v>
      </c>
      <c r="B72" s="1" t="s">
        <v>47</v>
      </c>
      <c r="C72" s="17">
        <v>693.2</v>
      </c>
      <c r="D72" s="17">
        <v>536.1</v>
      </c>
      <c r="E72" s="37">
        <f>D72*E73/100*105.3%</f>
        <v>575.80356599999993</v>
      </c>
      <c r="F72" s="37">
        <f>E72*F73/100*104%</f>
        <v>607.81824426959997</v>
      </c>
      <c r="G72" s="37">
        <f>E72*G73/100*104%</f>
        <v>610.81242281280004</v>
      </c>
      <c r="H72" s="37">
        <v>613.79999999999995</v>
      </c>
      <c r="I72" s="37">
        <f>F72*I73/100*104%</f>
        <v>641.61293865098969</v>
      </c>
      <c r="J72" s="37">
        <f>G72*J73/100*104%</f>
        <v>651.12604271844486</v>
      </c>
      <c r="K72" s="37">
        <v>654.29999999999995</v>
      </c>
      <c r="L72" s="37">
        <f>I72*L73/100*104%</f>
        <v>677.28661803998477</v>
      </c>
      <c r="M72" s="39">
        <f>I72*M73/100*104%</f>
        <v>683.95939260195496</v>
      </c>
      <c r="N72" s="39">
        <f>J72*N73/100*104%</f>
        <v>694.10036153786223</v>
      </c>
      <c r="O72" s="27"/>
      <c r="P72" s="19"/>
      <c r="Q72" s="19"/>
      <c r="R72" s="19"/>
      <c r="S72" s="19"/>
      <c r="T72" s="19"/>
      <c r="U72" s="19"/>
      <c r="V72" s="19"/>
      <c r="W72" s="19"/>
    </row>
    <row r="73" spans="1:23" s="6" customFormat="1" ht="174" customHeight="1" x14ac:dyDescent="0.2">
      <c r="A73" s="12" t="s">
        <v>53</v>
      </c>
      <c r="B73" s="1" t="s">
        <v>35</v>
      </c>
      <c r="C73" s="17">
        <v>103</v>
      </c>
      <c r="D73" s="17">
        <v>77.3</v>
      </c>
      <c r="E73" s="17">
        <v>102</v>
      </c>
      <c r="F73" s="17">
        <v>101.5</v>
      </c>
      <c r="G73" s="17">
        <v>102</v>
      </c>
      <c r="H73" s="17">
        <v>102.5</v>
      </c>
      <c r="I73" s="17">
        <v>101.5</v>
      </c>
      <c r="J73" s="17">
        <v>102.5</v>
      </c>
      <c r="K73" s="17">
        <v>102.5</v>
      </c>
      <c r="L73" s="17">
        <v>101.5</v>
      </c>
      <c r="M73" s="66">
        <v>102.5</v>
      </c>
      <c r="N73" s="66">
        <v>102.5</v>
      </c>
      <c r="O73" s="27"/>
      <c r="P73" s="19"/>
      <c r="Q73" s="19"/>
      <c r="R73" s="19"/>
      <c r="S73" s="19"/>
      <c r="T73" s="19"/>
      <c r="U73" s="19"/>
      <c r="V73" s="19"/>
      <c r="W73" s="19"/>
    </row>
    <row r="74" spans="1:23" s="6" customFormat="1" ht="18.75" x14ac:dyDescent="0.2">
      <c r="A74" s="62" t="s">
        <v>128</v>
      </c>
      <c r="B74" s="78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27"/>
      <c r="P74" s="19"/>
      <c r="Q74" s="19"/>
      <c r="R74" s="19"/>
      <c r="S74" s="19"/>
      <c r="T74" s="19"/>
      <c r="U74" s="19"/>
      <c r="V74" s="19"/>
      <c r="W74" s="19"/>
    </row>
    <row r="75" spans="1:23" s="6" customFormat="1" ht="52.5" customHeight="1" x14ac:dyDescent="0.2">
      <c r="A75" s="11" t="s">
        <v>0</v>
      </c>
      <c r="B75" s="17" t="s">
        <v>197</v>
      </c>
      <c r="C75" s="17">
        <v>8336.9</v>
      </c>
      <c r="D75" s="17">
        <v>8503.6</v>
      </c>
      <c r="E75" s="37">
        <f>E77+E79</f>
        <v>8769.9675999999999</v>
      </c>
      <c r="F75" s="37">
        <f t="shared" ref="F75:L75" si="0">F77+F79</f>
        <v>8989.2167899999986</v>
      </c>
      <c r="G75" s="37">
        <f>G77+G79</f>
        <v>9111.2820475680019</v>
      </c>
      <c r="H75" s="37">
        <f>H77+H79</f>
        <v>9366.7434969309288</v>
      </c>
      <c r="I75" s="37">
        <f t="shared" si="0"/>
        <v>9305.3926265699974</v>
      </c>
      <c r="J75" s="37">
        <f>J77+J79</f>
        <v>9575.1990762609312</v>
      </c>
      <c r="K75" s="37">
        <f>K77+K79</f>
        <v>9868.6645475136975</v>
      </c>
      <c r="L75" s="37">
        <f t="shared" si="0"/>
        <v>9635.1361457869461</v>
      </c>
      <c r="M75" s="39">
        <f t="shared" ref="M75" si="1">M77+M79</f>
        <v>9786.4834620028087</v>
      </c>
      <c r="N75" s="39">
        <f>N77+N79</f>
        <v>10071.541373878365</v>
      </c>
      <c r="O75" s="27"/>
      <c r="P75" s="19"/>
      <c r="Q75" s="19"/>
      <c r="R75" s="19"/>
      <c r="S75" s="19"/>
      <c r="T75" s="19"/>
      <c r="U75" s="19"/>
      <c r="V75" s="19"/>
      <c r="W75" s="19"/>
    </row>
    <row r="76" spans="1:23" s="6" customFormat="1" ht="134.25" customHeight="1" x14ac:dyDescent="0.2">
      <c r="A76" s="11" t="s">
        <v>1</v>
      </c>
      <c r="B76" s="17" t="s">
        <v>127</v>
      </c>
      <c r="C76" s="17">
        <v>126.9</v>
      </c>
      <c r="D76" s="17">
        <v>102</v>
      </c>
      <c r="E76" s="37">
        <f>E75/104.1%/D75*100</f>
        <v>99.070518542658021</v>
      </c>
      <c r="F76" s="37">
        <f>F75/102.5%/E75*100</f>
        <v>100</v>
      </c>
      <c r="G76" s="37">
        <f>G75/102.6%/E75*100</f>
        <v>101.25911821188566</v>
      </c>
      <c r="H76" s="37">
        <f>H75/102.6%/F75*100</f>
        <v>101.55923302232802</v>
      </c>
      <c r="I76" s="37">
        <f>I75/103.5%/F75*100</f>
        <v>100.01669470910828</v>
      </c>
      <c r="J76" s="37">
        <f>J75/103.8%/G75*100</f>
        <v>101.24438992251751</v>
      </c>
      <c r="K76" s="37">
        <f>K75/103.8%/H75*100</f>
        <v>101.50148725923202</v>
      </c>
      <c r="L76" s="37">
        <f>L75/103.5%/I75*100</f>
        <v>100.04210095556103</v>
      </c>
      <c r="M76" s="39">
        <f>M75/103.9%/I75*100</f>
        <v>101.22235022777149</v>
      </c>
      <c r="N76" s="39">
        <v>101.3</v>
      </c>
      <c r="O76" s="27"/>
      <c r="P76" s="19"/>
      <c r="Q76" s="19"/>
      <c r="R76" s="19"/>
      <c r="S76" s="19"/>
      <c r="T76" s="19"/>
      <c r="U76" s="19"/>
      <c r="V76" s="19"/>
      <c r="W76" s="19"/>
    </row>
    <row r="77" spans="1:23" s="6" customFormat="1" ht="48" customHeight="1" x14ac:dyDescent="0.2">
      <c r="A77" s="11" t="s">
        <v>2</v>
      </c>
      <c r="B77" s="17" t="s">
        <v>197</v>
      </c>
      <c r="C77" s="17">
        <v>5292.9</v>
      </c>
      <c r="D77" s="17">
        <v>4763.6000000000004</v>
      </c>
      <c r="E77" s="37">
        <f>D77*104.1%*E78/100</f>
        <v>4958.9076000000005</v>
      </c>
      <c r="F77" s="37">
        <f>E77*102.5%*F78/100</f>
        <v>5082.8802900000001</v>
      </c>
      <c r="G77" s="37">
        <f>E77*102.9%*G78/100</f>
        <v>5204.7702388080015</v>
      </c>
      <c r="H77" s="37">
        <f>F77*102.9%*H78/100</f>
        <v>5350.5803462334306</v>
      </c>
      <c r="I77" s="37">
        <f>F77*103.3%*I78/100</f>
        <v>5250.6153395699985</v>
      </c>
      <c r="J77" s="37">
        <f>G77*103.9%*J78/100</f>
        <v>5515.9114036839455</v>
      </c>
      <c r="K77" s="37">
        <f>H77*103.9%*K78/100</f>
        <v>5687.1157982704754</v>
      </c>
      <c r="L77" s="37">
        <f>I77*103.5%*L78/100</f>
        <v>5434.3868764549479</v>
      </c>
      <c r="M77" s="39">
        <f>I77*103.6%*M78/100</f>
        <v>5548.430241630409</v>
      </c>
      <c r="N77" s="39">
        <f>J77*103.6%*N78/100</f>
        <v>5828.7738985008991</v>
      </c>
      <c r="O77" s="27"/>
      <c r="P77" s="19"/>
      <c r="Q77" s="19"/>
      <c r="R77" s="19"/>
      <c r="S77" s="19"/>
      <c r="T77" s="19"/>
      <c r="U77" s="19"/>
      <c r="V77" s="19"/>
      <c r="W77" s="19"/>
    </row>
    <row r="78" spans="1:23" s="6" customFormat="1" ht="135" customHeight="1" x14ac:dyDescent="0.2">
      <c r="A78" s="11" t="s">
        <v>3</v>
      </c>
      <c r="B78" s="17" t="s">
        <v>127</v>
      </c>
      <c r="C78" s="37">
        <v>88.2</v>
      </c>
      <c r="D78" s="37">
        <v>90</v>
      </c>
      <c r="E78" s="37">
        <v>100</v>
      </c>
      <c r="F78" s="37">
        <v>100</v>
      </c>
      <c r="G78" s="37">
        <v>102</v>
      </c>
      <c r="H78" s="37">
        <v>102.3</v>
      </c>
      <c r="I78" s="37">
        <v>100</v>
      </c>
      <c r="J78" s="37">
        <v>102</v>
      </c>
      <c r="K78" s="37">
        <v>102.3</v>
      </c>
      <c r="L78" s="37">
        <v>100</v>
      </c>
      <c r="M78" s="39">
        <v>102</v>
      </c>
      <c r="N78" s="39">
        <v>102</v>
      </c>
      <c r="O78" s="70"/>
      <c r="P78" s="22"/>
      <c r="Q78" s="22"/>
      <c r="R78" s="22"/>
      <c r="S78" s="22"/>
      <c r="T78" s="22"/>
      <c r="U78" s="22"/>
      <c r="V78" s="22"/>
      <c r="W78" s="22"/>
    </row>
    <row r="79" spans="1:23" s="6" customFormat="1" ht="48" customHeight="1" x14ac:dyDescent="0.2">
      <c r="A79" s="11" t="s">
        <v>4</v>
      </c>
      <c r="B79" s="17" t="s">
        <v>197</v>
      </c>
      <c r="C79" s="37">
        <v>3043.9</v>
      </c>
      <c r="D79" s="37">
        <v>3740</v>
      </c>
      <c r="E79" s="37">
        <f>D79*101.9%*E80/100</f>
        <v>3811.0600000000004</v>
      </c>
      <c r="F79" s="37">
        <f>E79*102.5%*F80/100</f>
        <v>3906.3364999999994</v>
      </c>
      <c r="G79" s="37">
        <f>E79*102.3%*G80/100</f>
        <v>3906.5118087600003</v>
      </c>
      <c r="H79" s="37">
        <f>F79*102.3%*H80/100</f>
        <v>4016.1631506974991</v>
      </c>
      <c r="I79" s="37">
        <f>F79*103.8%*I80/100</f>
        <v>4054.777286999999</v>
      </c>
      <c r="J79" s="37">
        <f>G79*103.6%*J80/100</f>
        <v>4059.2876725769866</v>
      </c>
      <c r="K79" s="37">
        <f>H79*103.6%*K80/100</f>
        <v>4181.5487492432221</v>
      </c>
      <c r="L79" s="37">
        <f>I79*103.6%*L80/100</f>
        <v>4200.7492693319991</v>
      </c>
      <c r="M79" s="39">
        <f>I79*104%*M80/100</f>
        <v>4238.0532203723988</v>
      </c>
      <c r="N79" s="39">
        <f>J79*104%*N80/100</f>
        <v>4242.7674753774663</v>
      </c>
      <c r="O79" s="27"/>
      <c r="P79" s="19"/>
      <c r="Q79" s="19"/>
      <c r="R79" s="19"/>
      <c r="S79" s="19"/>
      <c r="T79" s="19"/>
      <c r="U79" s="19"/>
      <c r="V79" s="19"/>
      <c r="W79" s="19"/>
    </row>
    <row r="80" spans="1:23" s="6" customFormat="1" ht="125.25" customHeight="1" x14ac:dyDescent="0.2">
      <c r="A80" s="11" t="s">
        <v>5</v>
      </c>
      <c r="B80" s="17" t="s">
        <v>127</v>
      </c>
      <c r="C80" s="17">
        <v>109.3</v>
      </c>
      <c r="D80" s="37">
        <v>122.9</v>
      </c>
      <c r="E80" s="37">
        <v>100</v>
      </c>
      <c r="F80" s="37">
        <v>100</v>
      </c>
      <c r="G80" s="37">
        <v>100.2</v>
      </c>
      <c r="H80" s="37">
        <v>100.5</v>
      </c>
      <c r="I80" s="37">
        <v>100</v>
      </c>
      <c r="J80" s="37">
        <v>100.3</v>
      </c>
      <c r="K80" s="37">
        <v>100.5</v>
      </c>
      <c r="L80" s="37">
        <v>100</v>
      </c>
      <c r="M80" s="39">
        <v>100.5</v>
      </c>
      <c r="N80" s="39">
        <v>100.5</v>
      </c>
      <c r="O80" s="27"/>
      <c r="P80" s="19"/>
      <c r="Q80" s="19"/>
      <c r="R80" s="19"/>
      <c r="S80" s="19"/>
      <c r="T80" s="19"/>
      <c r="U80" s="19"/>
      <c r="V80" s="19"/>
      <c r="W80" s="19"/>
    </row>
    <row r="81" spans="1:23" s="34" customFormat="1" ht="29.25" customHeight="1" x14ac:dyDescent="0.2">
      <c r="A81" s="99" t="s">
        <v>176</v>
      </c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63"/>
      <c r="N81" s="63"/>
      <c r="O81" s="32"/>
      <c r="P81" s="33"/>
      <c r="Q81" s="33"/>
      <c r="R81" s="33"/>
      <c r="S81" s="33"/>
      <c r="T81" s="33"/>
      <c r="U81" s="33"/>
      <c r="V81" s="33"/>
      <c r="W81" s="33"/>
    </row>
    <row r="82" spans="1:23" s="6" customFormat="1" ht="45.75" customHeight="1" x14ac:dyDescent="0.2">
      <c r="A82" s="2" t="s">
        <v>6</v>
      </c>
      <c r="B82" s="1" t="s">
        <v>7</v>
      </c>
      <c r="C82" s="17">
        <v>412</v>
      </c>
      <c r="D82" s="17">
        <v>359.2</v>
      </c>
      <c r="E82" s="17">
        <v>259</v>
      </c>
      <c r="F82" s="17">
        <v>235</v>
      </c>
      <c r="G82" s="17">
        <v>320</v>
      </c>
      <c r="H82" s="17">
        <v>320.5</v>
      </c>
      <c r="I82" s="17">
        <v>250</v>
      </c>
      <c r="J82" s="17">
        <v>321</v>
      </c>
      <c r="K82" s="17">
        <v>321.5</v>
      </c>
      <c r="L82" s="17">
        <v>272</v>
      </c>
      <c r="M82" s="66">
        <v>330</v>
      </c>
      <c r="N82" s="66">
        <v>331</v>
      </c>
      <c r="O82" s="27"/>
      <c r="P82" s="19"/>
      <c r="Q82" s="19"/>
      <c r="R82" s="19"/>
      <c r="S82" s="19"/>
      <c r="T82" s="19"/>
      <c r="U82" s="19"/>
      <c r="V82" s="19"/>
      <c r="W82" s="19"/>
    </row>
    <row r="83" spans="1:23" s="6" customFormat="1" ht="45.75" customHeight="1" x14ac:dyDescent="0.2">
      <c r="A83" s="2" t="s">
        <v>8</v>
      </c>
      <c r="B83" s="1" t="s">
        <v>7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66"/>
      <c r="N83" s="66"/>
      <c r="O83" s="27"/>
      <c r="P83" s="19"/>
      <c r="Q83" s="19"/>
      <c r="R83" s="19"/>
      <c r="S83" s="19"/>
      <c r="T83" s="19"/>
      <c r="U83" s="19"/>
      <c r="V83" s="19"/>
      <c r="W83" s="19"/>
    </row>
    <row r="84" spans="1:23" s="6" customFormat="1" ht="45.75" customHeight="1" x14ac:dyDescent="0.2">
      <c r="A84" s="2" t="s">
        <v>9</v>
      </c>
      <c r="B84" s="1" t="s">
        <v>7</v>
      </c>
      <c r="C84" s="17">
        <v>39.799999999999997</v>
      </c>
      <c r="D84" s="17">
        <v>29</v>
      </c>
      <c r="E84" s="17">
        <v>16.8</v>
      </c>
      <c r="F84" s="17">
        <v>15</v>
      </c>
      <c r="G84" s="17">
        <v>22</v>
      </c>
      <c r="H84" s="17">
        <v>22.5</v>
      </c>
      <c r="I84" s="17">
        <v>16</v>
      </c>
      <c r="J84" s="17">
        <v>23</v>
      </c>
      <c r="K84" s="17">
        <v>23.5</v>
      </c>
      <c r="L84" s="17">
        <v>17</v>
      </c>
      <c r="M84" s="66">
        <v>24</v>
      </c>
      <c r="N84" s="66">
        <v>25</v>
      </c>
      <c r="O84" s="27"/>
      <c r="P84" s="19"/>
      <c r="Q84" s="19"/>
      <c r="R84" s="19"/>
      <c r="S84" s="19"/>
      <c r="T84" s="19"/>
      <c r="U84" s="19"/>
      <c r="V84" s="19"/>
      <c r="W84" s="19"/>
    </row>
    <row r="85" spans="1:23" s="6" customFormat="1" ht="45.75" customHeight="1" x14ac:dyDescent="0.2">
      <c r="A85" s="2" t="s">
        <v>10</v>
      </c>
      <c r="B85" s="1" t="s">
        <v>7</v>
      </c>
      <c r="C85" s="17">
        <v>28.2</v>
      </c>
      <c r="D85" s="17">
        <v>23.2</v>
      </c>
      <c r="E85" s="17">
        <v>12.7</v>
      </c>
      <c r="F85" s="17">
        <v>10</v>
      </c>
      <c r="G85" s="17">
        <v>18</v>
      </c>
      <c r="H85" s="17">
        <v>18.5</v>
      </c>
      <c r="I85" s="17">
        <v>11</v>
      </c>
      <c r="J85" s="17">
        <v>19</v>
      </c>
      <c r="K85" s="17">
        <v>19.5</v>
      </c>
      <c r="L85" s="17">
        <v>12</v>
      </c>
      <c r="M85" s="66">
        <v>20</v>
      </c>
      <c r="N85" s="66">
        <v>21</v>
      </c>
      <c r="O85" s="27"/>
      <c r="P85" s="19"/>
      <c r="Q85" s="19"/>
      <c r="R85" s="19"/>
      <c r="S85" s="19"/>
      <c r="T85" s="19"/>
      <c r="U85" s="19"/>
      <c r="V85" s="19"/>
      <c r="W85" s="19"/>
    </row>
    <row r="86" spans="1:23" s="6" customFormat="1" ht="45.75" customHeight="1" x14ac:dyDescent="0.2">
      <c r="A86" s="2" t="s">
        <v>11</v>
      </c>
      <c r="B86" s="1" t="s">
        <v>7</v>
      </c>
      <c r="C86" s="17">
        <v>9.1</v>
      </c>
      <c r="D86" s="17">
        <v>9.1</v>
      </c>
      <c r="E86" s="37">
        <v>5.4</v>
      </c>
      <c r="F86" s="37">
        <v>4</v>
      </c>
      <c r="G86" s="37">
        <v>5</v>
      </c>
      <c r="H86" s="37">
        <v>5.5</v>
      </c>
      <c r="I86" s="37">
        <v>4.0999999999999996</v>
      </c>
      <c r="J86" s="37">
        <v>5.0999999999999996</v>
      </c>
      <c r="K86" s="37">
        <v>5.4</v>
      </c>
      <c r="L86" s="37">
        <v>4.2</v>
      </c>
      <c r="M86" s="39">
        <v>5.2</v>
      </c>
      <c r="N86" s="39">
        <v>6</v>
      </c>
      <c r="O86" s="27"/>
      <c r="P86" s="19"/>
      <c r="Q86" s="19"/>
      <c r="R86" s="19"/>
      <c r="S86" s="19"/>
      <c r="T86" s="19"/>
      <c r="U86" s="19"/>
      <c r="V86" s="19"/>
      <c r="W86" s="19"/>
    </row>
    <row r="87" spans="1:23" s="6" customFormat="1" ht="45.75" customHeight="1" x14ac:dyDescent="0.2">
      <c r="A87" s="2" t="s">
        <v>12</v>
      </c>
      <c r="B87" s="1" t="s">
        <v>7</v>
      </c>
      <c r="C87" s="17">
        <v>8.5</v>
      </c>
      <c r="D87" s="17">
        <v>9.3000000000000007</v>
      </c>
      <c r="E87" s="37">
        <v>6.9</v>
      </c>
      <c r="F87" s="37">
        <v>6</v>
      </c>
      <c r="G87" s="37">
        <v>6.5</v>
      </c>
      <c r="H87" s="37">
        <v>6.6</v>
      </c>
      <c r="I87" s="37">
        <v>6.3</v>
      </c>
      <c r="J87" s="37">
        <v>7.1</v>
      </c>
      <c r="K87" s="37">
        <v>7.2</v>
      </c>
      <c r="L87" s="37">
        <v>6.5</v>
      </c>
      <c r="M87" s="39">
        <v>7.5</v>
      </c>
      <c r="N87" s="39">
        <v>7.6</v>
      </c>
      <c r="O87" s="27"/>
      <c r="P87" s="19"/>
      <c r="Q87" s="19"/>
      <c r="R87" s="19"/>
      <c r="S87" s="19"/>
      <c r="T87" s="19"/>
      <c r="U87" s="19"/>
      <c r="V87" s="19"/>
      <c r="W87" s="19"/>
    </row>
    <row r="88" spans="1:23" s="6" customFormat="1" ht="45.75" customHeight="1" x14ac:dyDescent="0.2">
      <c r="A88" s="2" t="s">
        <v>13</v>
      </c>
      <c r="B88" s="1" t="s">
        <v>7</v>
      </c>
      <c r="C88" s="17">
        <v>28.7</v>
      </c>
      <c r="D88" s="17">
        <v>30.1</v>
      </c>
      <c r="E88" s="17">
        <v>24.4</v>
      </c>
      <c r="F88" s="17">
        <v>24.4</v>
      </c>
      <c r="G88" s="17">
        <v>24.5</v>
      </c>
      <c r="H88" s="17">
        <v>25</v>
      </c>
      <c r="I88" s="17">
        <v>24.55</v>
      </c>
      <c r="J88" s="17">
        <v>24.6</v>
      </c>
      <c r="K88" s="17">
        <v>25</v>
      </c>
      <c r="L88" s="17">
        <v>24.65</v>
      </c>
      <c r="M88" s="66">
        <v>24.7</v>
      </c>
      <c r="N88" s="66">
        <v>25</v>
      </c>
      <c r="O88" s="70"/>
      <c r="P88" s="22"/>
      <c r="Q88" s="22"/>
      <c r="R88" s="22"/>
      <c r="S88" s="22"/>
      <c r="T88" s="22"/>
      <c r="U88" s="22"/>
      <c r="V88" s="22"/>
      <c r="W88" s="22"/>
    </row>
    <row r="89" spans="1:23" s="6" customFormat="1" ht="45.75" customHeight="1" x14ac:dyDescent="0.2">
      <c r="A89" s="2" t="s">
        <v>14</v>
      </c>
      <c r="B89" s="1" t="s">
        <v>7</v>
      </c>
      <c r="C89" s="17">
        <v>12.6</v>
      </c>
      <c r="D89" s="17">
        <v>15.2</v>
      </c>
      <c r="E89" s="17">
        <v>12.6</v>
      </c>
      <c r="F89" s="17">
        <v>12.6</v>
      </c>
      <c r="G89" s="17">
        <v>12.7</v>
      </c>
      <c r="H89" s="17">
        <v>12.8</v>
      </c>
      <c r="I89" s="17">
        <v>12.6</v>
      </c>
      <c r="J89" s="17">
        <v>12.7</v>
      </c>
      <c r="K89" s="17">
        <v>12.8</v>
      </c>
      <c r="L89" s="17">
        <v>12.7</v>
      </c>
      <c r="M89" s="66">
        <v>12.8</v>
      </c>
      <c r="N89" s="66">
        <v>12.8</v>
      </c>
      <c r="O89" s="27"/>
      <c r="P89" s="19"/>
      <c r="Q89" s="19"/>
      <c r="R89" s="19"/>
      <c r="S89" s="19"/>
      <c r="T89" s="19"/>
      <c r="U89" s="19"/>
      <c r="V89" s="19"/>
      <c r="W89" s="19"/>
    </row>
    <row r="90" spans="1:23" s="6" customFormat="1" ht="45.75" customHeight="1" x14ac:dyDescent="0.2">
      <c r="A90" s="2" t="s">
        <v>15</v>
      </c>
      <c r="B90" s="1" t="s">
        <v>198</v>
      </c>
      <c r="C90" s="37">
        <v>62.7</v>
      </c>
      <c r="D90" s="37">
        <v>54.9</v>
      </c>
      <c r="E90" s="37">
        <v>55</v>
      </c>
      <c r="F90" s="37">
        <v>55</v>
      </c>
      <c r="G90" s="37">
        <v>55.1</v>
      </c>
      <c r="H90" s="37">
        <v>55.2</v>
      </c>
      <c r="I90" s="37">
        <v>55</v>
      </c>
      <c r="J90" s="37">
        <v>55.1</v>
      </c>
      <c r="K90" s="37">
        <v>55.2</v>
      </c>
      <c r="L90" s="37">
        <v>55</v>
      </c>
      <c r="M90" s="39">
        <v>55.1</v>
      </c>
      <c r="N90" s="39">
        <v>55.2</v>
      </c>
      <c r="O90" s="27"/>
      <c r="P90" s="19"/>
      <c r="Q90" s="19"/>
      <c r="R90" s="19"/>
      <c r="S90" s="19"/>
      <c r="T90" s="19"/>
      <c r="U90" s="19"/>
      <c r="V90" s="19"/>
      <c r="W90" s="19"/>
    </row>
    <row r="91" spans="1:23" s="6" customFormat="1" ht="18.75" x14ac:dyDescent="0.2">
      <c r="A91" s="64" t="s">
        <v>129</v>
      </c>
      <c r="B91" s="78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27"/>
      <c r="P91" s="19"/>
      <c r="Q91" s="19"/>
      <c r="R91" s="19"/>
      <c r="S91" s="19"/>
      <c r="T91" s="19"/>
      <c r="U91" s="19"/>
      <c r="V91" s="19"/>
      <c r="W91" s="19"/>
    </row>
    <row r="92" spans="1:23" s="6" customFormat="1" ht="56.25" x14ac:dyDescent="0.2">
      <c r="A92" s="11" t="s">
        <v>130</v>
      </c>
      <c r="B92" s="17" t="s">
        <v>180</v>
      </c>
      <c r="C92" s="17">
        <v>475</v>
      </c>
      <c r="D92" s="17">
        <v>480</v>
      </c>
      <c r="E92" s="17">
        <v>430</v>
      </c>
      <c r="F92" s="17">
        <v>430</v>
      </c>
      <c r="G92" s="17">
        <v>440</v>
      </c>
      <c r="H92" s="17">
        <v>445</v>
      </c>
      <c r="I92" s="17">
        <v>440</v>
      </c>
      <c r="J92" s="17">
        <v>450</v>
      </c>
      <c r="K92" s="17">
        <v>460</v>
      </c>
      <c r="L92" s="17">
        <v>460</v>
      </c>
      <c r="M92" s="66">
        <v>470</v>
      </c>
      <c r="N92" s="66">
        <v>470</v>
      </c>
      <c r="O92" s="70"/>
      <c r="P92" s="22"/>
      <c r="Q92" s="22"/>
      <c r="R92" s="22"/>
      <c r="S92" s="22"/>
      <c r="T92" s="22"/>
      <c r="U92" s="22"/>
      <c r="V92" s="22"/>
      <c r="W92" s="22"/>
    </row>
    <row r="93" spans="1:23" s="6" customFormat="1" ht="129.75" customHeight="1" x14ac:dyDescent="0.2">
      <c r="A93" s="11" t="s">
        <v>131</v>
      </c>
      <c r="B93" s="17" t="s">
        <v>127</v>
      </c>
      <c r="C93" s="17">
        <v>94.6</v>
      </c>
      <c r="D93" s="37">
        <f>D92/107.3%/C92*100</f>
        <v>94.177662235738453</v>
      </c>
      <c r="E93" s="37">
        <f>E92/104.6%/D92*100</f>
        <v>85.643722115997463</v>
      </c>
      <c r="F93" s="37">
        <f>F92/104.4%/E92*100</f>
        <v>95.785440613026822</v>
      </c>
      <c r="G93" s="37">
        <f>G92/104.4%/E92*100</f>
        <v>98.013008999376282</v>
      </c>
      <c r="H93" s="37">
        <f>H92/104.4%/E92*100</f>
        <v>99.126793192551006</v>
      </c>
      <c r="I93" s="37">
        <f>I92/104.5%/F92*100</f>
        <v>97.919216646266833</v>
      </c>
      <c r="J93" s="37">
        <f>J92/104.5%/G92*100</f>
        <v>97.868638538495006</v>
      </c>
      <c r="K93" s="37">
        <f>K92/104.5%/H92*100</f>
        <v>98.919412934788454</v>
      </c>
      <c r="L93" s="37">
        <f>L92/104.6%/I92*100</f>
        <v>99.947853293933591</v>
      </c>
      <c r="M93" s="39">
        <f>M92/104.6%/I92*100</f>
        <v>102.12063271336693</v>
      </c>
      <c r="N93" s="39">
        <f>N92/104.6%/J92*100</f>
        <v>99.851285319736562</v>
      </c>
      <c r="O93" s="27"/>
      <c r="P93" s="19"/>
      <c r="Q93" s="19"/>
      <c r="R93" s="19"/>
      <c r="S93" s="19"/>
      <c r="T93" s="19"/>
      <c r="U93" s="19"/>
      <c r="V93" s="19"/>
      <c r="W93" s="19"/>
    </row>
    <row r="94" spans="1:23" s="6" customFormat="1" ht="65.25" customHeight="1" x14ac:dyDescent="0.2">
      <c r="A94" s="11" t="s">
        <v>16</v>
      </c>
      <c r="B94" s="17" t="s">
        <v>132</v>
      </c>
      <c r="C94" s="37">
        <v>25.4</v>
      </c>
      <c r="D94" s="37">
        <v>45</v>
      </c>
      <c r="E94" s="37">
        <v>36.799999999999997</v>
      </c>
      <c r="F94" s="37">
        <v>24.5</v>
      </c>
      <c r="G94" s="37">
        <v>26.2</v>
      </c>
      <c r="H94" s="39">
        <v>26.3</v>
      </c>
      <c r="I94" s="39">
        <v>26.4</v>
      </c>
      <c r="J94" s="39">
        <v>26.3</v>
      </c>
      <c r="K94" s="39">
        <v>26.4</v>
      </c>
      <c r="L94" s="39">
        <v>26.4</v>
      </c>
      <c r="M94" s="39">
        <v>26.3</v>
      </c>
      <c r="N94" s="39">
        <v>26.4</v>
      </c>
      <c r="O94" s="27"/>
      <c r="P94" s="19"/>
      <c r="Q94" s="19"/>
      <c r="R94" s="19"/>
      <c r="S94" s="19"/>
      <c r="T94" s="19"/>
      <c r="U94" s="19"/>
      <c r="V94" s="19"/>
      <c r="W94" s="19"/>
    </row>
    <row r="95" spans="1:23" s="6" customFormat="1" ht="18.75" customHeight="1" x14ac:dyDescent="0.2">
      <c r="A95" s="62" t="s">
        <v>133</v>
      </c>
      <c r="B95" s="78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27"/>
      <c r="P95" s="19"/>
      <c r="Q95" s="19"/>
      <c r="R95" s="19"/>
      <c r="S95" s="19"/>
      <c r="T95" s="19"/>
      <c r="U95" s="19"/>
      <c r="V95" s="19"/>
      <c r="W95" s="19"/>
    </row>
    <row r="96" spans="1:23" s="6" customFormat="1" ht="18.75" x14ac:dyDescent="0.2">
      <c r="A96" s="11" t="s">
        <v>18</v>
      </c>
      <c r="B96" s="17" t="s">
        <v>185</v>
      </c>
      <c r="C96" s="37">
        <v>10075.799999999999</v>
      </c>
      <c r="D96" s="37">
        <v>10554</v>
      </c>
      <c r="E96" s="37">
        <f>D96*103.4%*E97/100</f>
        <v>9821.5524000000005</v>
      </c>
      <c r="F96" s="37">
        <f>E96*103.7%*F97/100</f>
        <v>10215.504688316398</v>
      </c>
      <c r="G96" s="37">
        <f>E96*103.8%*G97/100</f>
        <v>10245.745248156001</v>
      </c>
      <c r="H96" s="37">
        <f>F96*103.8%*H97/100</f>
        <v>10688.523417404202</v>
      </c>
      <c r="I96" s="37">
        <f>F96*103.8%*I97/100</f>
        <v>10624.901254205366</v>
      </c>
      <c r="J96" s="37">
        <f>G96*103.9%*J97/100</f>
        <v>10719.846618023925</v>
      </c>
      <c r="K96" s="37">
        <f>H96*103.9%*K97/100</f>
        <v>11216.429588989797</v>
      </c>
      <c r="L96" s="37">
        <f>I96*104%*L97/100</f>
        <v>11083.046996286699</v>
      </c>
      <c r="M96" s="39">
        <f>I96*104%*M97/100</f>
        <v>11160.396277417318</v>
      </c>
      <c r="N96" s="39">
        <f>J96*104%*N97/100</f>
        <v>11260.126887572331</v>
      </c>
      <c r="O96" s="27"/>
      <c r="P96" s="19"/>
      <c r="Q96" s="19"/>
      <c r="R96" s="19"/>
      <c r="S96" s="19"/>
      <c r="T96" s="19"/>
      <c r="U96" s="19"/>
      <c r="V96" s="19"/>
      <c r="W96" s="19"/>
    </row>
    <row r="97" spans="1:24" s="6" customFormat="1" ht="135" customHeight="1" x14ac:dyDescent="0.2">
      <c r="A97" s="11" t="s">
        <v>134</v>
      </c>
      <c r="B97" s="17" t="s">
        <v>127</v>
      </c>
      <c r="C97" s="37">
        <v>100.6</v>
      </c>
      <c r="D97" s="37">
        <f>D96/104.5%/C96*100</f>
        <v>100.2354307459505</v>
      </c>
      <c r="E97" s="37">
        <v>90</v>
      </c>
      <c r="F97" s="37">
        <v>100.3</v>
      </c>
      <c r="G97" s="37">
        <v>100.5</v>
      </c>
      <c r="H97" s="37">
        <v>100.8</v>
      </c>
      <c r="I97" s="37">
        <v>100.2</v>
      </c>
      <c r="J97" s="37">
        <v>100.7</v>
      </c>
      <c r="K97" s="37">
        <v>101</v>
      </c>
      <c r="L97" s="37">
        <v>100.3</v>
      </c>
      <c r="M97" s="39">
        <v>101</v>
      </c>
      <c r="N97" s="39">
        <v>101</v>
      </c>
      <c r="O97" s="70"/>
      <c r="P97" s="22"/>
      <c r="Q97" s="22"/>
      <c r="R97" s="22"/>
      <c r="S97" s="22"/>
      <c r="T97" s="22"/>
      <c r="U97" s="22"/>
      <c r="V97" s="22"/>
      <c r="W97" s="22"/>
    </row>
    <row r="98" spans="1:24" s="6" customFormat="1" ht="18.75" x14ac:dyDescent="0.2">
      <c r="A98" s="11" t="s">
        <v>19</v>
      </c>
      <c r="B98" s="17" t="s">
        <v>185</v>
      </c>
      <c r="C98" s="37">
        <v>3601.7</v>
      </c>
      <c r="D98" s="37">
        <v>3867</v>
      </c>
      <c r="E98" s="37">
        <f>D98*103.5%*E99/100</f>
        <v>4006.3473449999997</v>
      </c>
      <c r="F98" s="37">
        <f>E98*103.4%*F99/100</f>
        <v>4142.56315473</v>
      </c>
      <c r="G98" s="37">
        <f>E98*103.5%*G99/100</f>
        <v>4154.8626410791494</v>
      </c>
      <c r="H98" s="37">
        <f>F98*103.5%*H99/100</f>
        <v>4308.9906294712773</v>
      </c>
      <c r="I98" s="37">
        <f>F98*103.7%*I99/100</f>
        <v>4300.1338294464649</v>
      </c>
      <c r="J98" s="37">
        <f>G98*103.8%*J99/100</f>
        <v>4334.311158547358</v>
      </c>
      <c r="K98" s="37">
        <f>H98*103.8%*K99/100</f>
        <v>4517.459596125098</v>
      </c>
      <c r="L98" s="37">
        <f>I98*104.1%*L99/100</f>
        <v>4485.392195086677</v>
      </c>
      <c r="M98" s="39">
        <f>I98*104.1%*M99/100</f>
        <v>4521.2037096183076</v>
      </c>
      <c r="N98" s="39">
        <f>J98*104.1%*N99/100</f>
        <v>4557.1380952082773</v>
      </c>
      <c r="O98" s="27"/>
      <c r="P98" s="19"/>
      <c r="Q98" s="19"/>
      <c r="R98" s="19"/>
      <c r="S98" s="19"/>
      <c r="T98" s="19"/>
      <c r="U98" s="19"/>
      <c r="V98" s="19"/>
      <c r="W98" s="19"/>
    </row>
    <row r="99" spans="1:24" s="6" customFormat="1" ht="132" customHeight="1" x14ac:dyDescent="0.2">
      <c r="A99" s="11" t="s">
        <v>135</v>
      </c>
      <c r="B99" s="17" t="s">
        <v>127</v>
      </c>
      <c r="C99" s="37">
        <v>100</v>
      </c>
      <c r="D99" s="37">
        <v>101</v>
      </c>
      <c r="E99" s="37">
        <v>100.1</v>
      </c>
      <c r="F99" s="37">
        <v>100</v>
      </c>
      <c r="G99" s="37">
        <v>100.2</v>
      </c>
      <c r="H99" s="37">
        <v>100.5</v>
      </c>
      <c r="I99" s="37">
        <v>100.1</v>
      </c>
      <c r="J99" s="37">
        <v>100.5</v>
      </c>
      <c r="K99" s="37">
        <v>101</v>
      </c>
      <c r="L99" s="37">
        <v>100.2</v>
      </c>
      <c r="M99" s="39">
        <v>101</v>
      </c>
      <c r="N99" s="39">
        <v>101</v>
      </c>
      <c r="O99" s="27"/>
      <c r="P99" s="19"/>
      <c r="Q99" s="19"/>
      <c r="R99" s="19"/>
      <c r="S99" s="19"/>
      <c r="T99" s="19"/>
      <c r="U99" s="19"/>
      <c r="V99" s="19"/>
      <c r="W99" s="19"/>
    </row>
    <row r="100" spans="1:24" s="6" customFormat="1" ht="56.25" x14ac:dyDescent="0.2">
      <c r="A100" s="64" t="s">
        <v>136</v>
      </c>
      <c r="B100" s="78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27"/>
      <c r="P100" s="19"/>
      <c r="Q100" s="19"/>
      <c r="R100" s="19"/>
      <c r="S100" s="19"/>
      <c r="T100" s="19"/>
      <c r="U100" s="19"/>
      <c r="V100" s="19"/>
      <c r="W100" s="19"/>
    </row>
    <row r="101" spans="1:24" s="6" customFormat="1" ht="76.5" customHeight="1" x14ac:dyDescent="0.2">
      <c r="A101" s="11" t="s">
        <v>107</v>
      </c>
      <c r="B101" s="17" t="s">
        <v>20</v>
      </c>
      <c r="C101" s="17">
        <v>659</v>
      </c>
      <c r="D101" s="17">
        <v>618</v>
      </c>
      <c r="E101" s="17">
        <v>592</v>
      </c>
      <c r="F101" s="17">
        <v>592</v>
      </c>
      <c r="G101" s="17">
        <v>605</v>
      </c>
      <c r="H101" s="17">
        <v>610</v>
      </c>
      <c r="I101" s="17">
        <v>618</v>
      </c>
      <c r="J101" s="17">
        <v>625</v>
      </c>
      <c r="K101" s="17">
        <v>628</v>
      </c>
      <c r="L101" s="17">
        <v>620</v>
      </c>
      <c r="M101" s="66">
        <v>630</v>
      </c>
      <c r="N101" s="66">
        <v>630</v>
      </c>
      <c r="O101" s="70"/>
      <c r="P101" s="22"/>
      <c r="Q101" s="22"/>
      <c r="R101" s="22"/>
      <c r="S101" s="22"/>
      <c r="T101" s="22"/>
      <c r="U101" s="22"/>
      <c r="V101" s="22"/>
      <c r="W101" s="22"/>
    </row>
    <row r="102" spans="1:24" s="6" customFormat="1" ht="108" customHeight="1" x14ac:dyDescent="0.2">
      <c r="A102" s="11" t="s">
        <v>137</v>
      </c>
      <c r="B102" s="17" t="s">
        <v>21</v>
      </c>
      <c r="C102" s="36">
        <v>13.1</v>
      </c>
      <c r="D102" s="36">
        <v>13.3</v>
      </c>
      <c r="E102" s="36">
        <v>12.8</v>
      </c>
      <c r="F102" s="36">
        <v>13</v>
      </c>
      <c r="G102" s="36">
        <v>13.4</v>
      </c>
      <c r="H102" s="36">
        <v>13.5</v>
      </c>
      <c r="I102" s="36">
        <v>13.46</v>
      </c>
      <c r="J102" s="36">
        <v>13.54</v>
      </c>
      <c r="K102" s="36">
        <v>13.6</v>
      </c>
      <c r="L102" s="36">
        <v>13.54</v>
      </c>
      <c r="M102" s="38">
        <v>13.73</v>
      </c>
      <c r="N102" s="38">
        <v>13.8</v>
      </c>
      <c r="O102" s="28"/>
      <c r="P102" s="21"/>
      <c r="Q102" s="20"/>
      <c r="R102" s="21"/>
      <c r="S102" s="20"/>
      <c r="T102" s="21"/>
      <c r="U102" s="20"/>
      <c r="V102" s="21"/>
      <c r="W102" s="20"/>
    </row>
    <row r="103" spans="1:24" s="6" customFormat="1" ht="70.5" customHeight="1" x14ac:dyDescent="0.2">
      <c r="A103" s="11" t="s">
        <v>48</v>
      </c>
      <c r="B103" s="17" t="s">
        <v>199</v>
      </c>
      <c r="C103" s="36">
        <v>14.02</v>
      </c>
      <c r="D103" s="36">
        <v>14.8</v>
      </c>
      <c r="E103" s="36">
        <v>14.5</v>
      </c>
      <c r="F103" s="36">
        <v>14.8</v>
      </c>
      <c r="G103" s="36">
        <v>14.9</v>
      </c>
      <c r="H103" s="36">
        <v>15</v>
      </c>
      <c r="I103" s="36">
        <v>15</v>
      </c>
      <c r="J103" s="36">
        <v>15.2</v>
      </c>
      <c r="K103" s="36">
        <v>15.3</v>
      </c>
      <c r="L103" s="36">
        <v>15.5</v>
      </c>
      <c r="M103" s="38">
        <v>16</v>
      </c>
      <c r="N103" s="38">
        <v>16</v>
      </c>
      <c r="O103" s="28"/>
      <c r="P103" s="21"/>
      <c r="Q103" s="20"/>
      <c r="R103" s="21"/>
      <c r="S103" s="20"/>
      <c r="T103" s="21"/>
      <c r="U103" s="20"/>
      <c r="V103" s="21"/>
      <c r="W103" s="20"/>
    </row>
    <row r="104" spans="1:24" s="6" customFormat="1" ht="19.5" customHeight="1" x14ac:dyDescent="0.3">
      <c r="A104" s="64" t="s">
        <v>191</v>
      </c>
      <c r="B104" s="78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28"/>
      <c r="P104" s="22"/>
      <c r="Q104" s="20"/>
      <c r="R104" s="22"/>
      <c r="S104" s="20"/>
      <c r="T104" s="22"/>
      <c r="U104" s="20"/>
      <c r="V104" s="22"/>
      <c r="W104" s="20"/>
      <c r="X104" s="4"/>
    </row>
    <row r="105" spans="1:24" s="6" customFormat="1" ht="87.75" customHeight="1" x14ac:dyDescent="0.2">
      <c r="A105" s="14" t="s">
        <v>179</v>
      </c>
      <c r="B105" s="1" t="s">
        <v>180</v>
      </c>
      <c r="C105" s="16">
        <v>3355.7</v>
      </c>
      <c r="D105" s="1">
        <v>3136.7</v>
      </c>
      <c r="E105" s="46">
        <f>D105*106.2%*E106/100</f>
        <v>3071.3437187999998</v>
      </c>
      <c r="F105" s="1">
        <v>3101.8</v>
      </c>
      <c r="G105" s="16">
        <v>3132.7</v>
      </c>
      <c r="H105" s="16">
        <v>3340.5</v>
      </c>
      <c r="I105" s="1">
        <v>3132.8</v>
      </c>
      <c r="J105" s="16">
        <v>3195.3</v>
      </c>
      <c r="K105" s="16">
        <v>3390</v>
      </c>
      <c r="L105" s="1">
        <v>3164.1</v>
      </c>
      <c r="M105" s="47">
        <v>3259.2</v>
      </c>
      <c r="N105" s="47">
        <v>3459.2</v>
      </c>
      <c r="O105" s="28"/>
      <c r="P105" s="22"/>
      <c r="Q105" s="20"/>
      <c r="R105" s="22"/>
      <c r="S105" s="20"/>
      <c r="T105" s="22"/>
      <c r="U105" s="20"/>
      <c r="V105" s="22"/>
      <c r="W105" s="20"/>
      <c r="X105" s="10"/>
    </row>
    <row r="106" spans="1:24" s="6" customFormat="1" ht="77.25" customHeight="1" x14ac:dyDescent="0.2">
      <c r="A106" s="14" t="s">
        <v>22</v>
      </c>
      <c r="B106" s="1" t="s">
        <v>181</v>
      </c>
      <c r="C106" s="16">
        <v>98.5</v>
      </c>
      <c r="D106" s="1">
        <v>87.5</v>
      </c>
      <c r="E106" s="16">
        <v>92.2</v>
      </c>
      <c r="F106" s="40">
        <f>F105/105.1%/E105*100</f>
        <v>96.09098691546258</v>
      </c>
      <c r="G106" s="46">
        <f>G105/105.1%/E105*100</f>
        <v>97.04824125026424</v>
      </c>
      <c r="H106" s="46">
        <f>H105/105.1%/F105*100</f>
        <v>102.46958289895085</v>
      </c>
      <c r="I106" s="40">
        <f>I105/104.6%/F105*100</f>
        <v>96.55776261165569</v>
      </c>
      <c r="J106" s="46">
        <f>J105/104.8%/G105*100</f>
        <v>97.326599472639884</v>
      </c>
      <c r="K106" s="46">
        <f>K105/104.8%/H105*100</f>
        <v>96.833792079852742</v>
      </c>
      <c r="L106" s="40">
        <f>L105/104.7%/I105*100</f>
        <v>96.465239953054251</v>
      </c>
      <c r="M106" s="48">
        <f>M105/104.7%/I105*100</f>
        <v>99.364593424668755</v>
      </c>
      <c r="N106" s="48">
        <f>N105/104.7%/J105*100</f>
        <v>103.39924108328759</v>
      </c>
      <c r="O106" s="29"/>
      <c r="P106" s="73"/>
      <c r="Q106" s="23"/>
      <c r="R106" s="73"/>
      <c r="S106" s="23"/>
      <c r="T106" s="73"/>
      <c r="U106" s="23"/>
      <c r="V106" s="73"/>
      <c r="W106" s="23"/>
    </row>
    <row r="107" spans="1:24" s="6" customFormat="1" ht="129" customHeight="1" x14ac:dyDescent="0.2">
      <c r="A107" s="14" t="s">
        <v>182</v>
      </c>
      <c r="B107" s="1" t="s">
        <v>47</v>
      </c>
      <c r="C107" s="49">
        <v>1451.3</v>
      </c>
      <c r="D107" s="40">
        <v>1285.8</v>
      </c>
      <c r="E107" s="49">
        <f>D107*106.2%*E108/100</f>
        <v>1223.5055616</v>
      </c>
      <c r="F107" s="40">
        <v>1253.0999999999999</v>
      </c>
      <c r="G107" s="49">
        <v>1265.3</v>
      </c>
      <c r="H107" s="49">
        <v>1270.5</v>
      </c>
      <c r="I107" s="40">
        <v>1322</v>
      </c>
      <c r="J107" s="49">
        <v>1341.2</v>
      </c>
      <c r="K107" s="49">
        <v>1350</v>
      </c>
      <c r="L107" s="40">
        <v>1374.9</v>
      </c>
      <c r="M107" s="50">
        <v>1408.3</v>
      </c>
      <c r="N107" s="50">
        <v>1410</v>
      </c>
      <c r="O107" s="29"/>
      <c r="P107" s="24"/>
      <c r="Q107" s="23"/>
      <c r="R107" s="24"/>
      <c r="S107" s="23"/>
      <c r="T107" s="24"/>
      <c r="U107" s="23"/>
      <c r="V107" s="24"/>
      <c r="W107" s="23"/>
    </row>
    <row r="108" spans="1:24" s="6" customFormat="1" ht="108" customHeight="1" x14ac:dyDescent="0.2">
      <c r="A108" s="2" t="s">
        <v>183</v>
      </c>
      <c r="B108" s="1" t="s">
        <v>181</v>
      </c>
      <c r="C108" s="51">
        <v>84</v>
      </c>
      <c r="D108" s="1">
        <v>84.6</v>
      </c>
      <c r="E108" s="51">
        <v>89.6</v>
      </c>
      <c r="F108" s="40">
        <f>F107/104.9%/E107*100</f>
        <v>97.634721987914574</v>
      </c>
      <c r="G108" s="49">
        <f>G107/105.2%/E107*100</f>
        <v>98.304142763317643</v>
      </c>
      <c r="H108" s="49">
        <f>H107/105.2%/F107*100</f>
        <v>96.376954734008706</v>
      </c>
      <c r="I108" s="40">
        <f>I107/104.6%/F107*100</f>
        <v>100.85885665118384</v>
      </c>
      <c r="J108" s="49">
        <f>J107/104.9%/G107*100</f>
        <v>101.04726159434827</v>
      </c>
      <c r="K108" s="49">
        <f>K107/104.9%/H107*100</f>
        <v>101.29397424656979</v>
      </c>
      <c r="L108" s="40">
        <f>L107/104.7%/I107*100</f>
        <v>99.332868060462374</v>
      </c>
      <c r="M108" s="50">
        <f>M107/104.8%/I107*100</f>
        <v>101.64884341328775</v>
      </c>
      <c r="N108" s="50">
        <f>N107/104.8%/J107*100</f>
        <v>100.31463221952312</v>
      </c>
      <c r="O108" s="29"/>
      <c r="P108" s="24"/>
      <c r="Q108" s="23"/>
      <c r="R108" s="24"/>
      <c r="S108" s="23"/>
      <c r="T108" s="24"/>
      <c r="U108" s="23"/>
      <c r="V108" s="24"/>
      <c r="W108" s="23"/>
    </row>
    <row r="109" spans="1:24" s="6" customFormat="1" ht="37.5" x14ac:dyDescent="0.2">
      <c r="A109" s="55" t="s">
        <v>184</v>
      </c>
      <c r="B109" s="13"/>
      <c r="C109" s="55"/>
      <c r="D109" s="13"/>
      <c r="E109" s="55"/>
      <c r="F109" s="13"/>
      <c r="G109" s="55"/>
      <c r="H109" s="55"/>
      <c r="I109" s="13"/>
      <c r="J109" s="49"/>
      <c r="K109" s="55"/>
      <c r="L109" s="13"/>
      <c r="M109" s="56"/>
      <c r="N109" s="56"/>
      <c r="O109" s="29"/>
      <c r="P109" s="25"/>
      <c r="Q109" s="23"/>
      <c r="R109" s="25"/>
      <c r="S109" s="23"/>
      <c r="T109" s="25"/>
      <c r="U109" s="23"/>
      <c r="V109" s="25"/>
      <c r="W109" s="23"/>
    </row>
    <row r="110" spans="1:24" s="6" customFormat="1" ht="18.75" x14ac:dyDescent="0.2">
      <c r="A110" s="15" t="s">
        <v>23</v>
      </c>
      <c r="B110" s="13" t="s">
        <v>185</v>
      </c>
      <c r="C110" s="53">
        <v>953.4</v>
      </c>
      <c r="D110" s="13">
        <v>1028.2</v>
      </c>
      <c r="E110" s="42">
        <f>E107-E111</f>
        <v>951.50556159999996</v>
      </c>
      <c r="F110" s="42">
        <f>F107-F111</f>
        <v>1003.0999999999999</v>
      </c>
      <c r="G110" s="42">
        <f>G107-G111</f>
        <v>803.3</v>
      </c>
      <c r="H110" s="42">
        <f>H107-H111</f>
        <v>803.5</v>
      </c>
      <c r="I110" s="42">
        <f t="shared" ref="I110:N110" si="2">I107-I111</f>
        <v>1087</v>
      </c>
      <c r="J110" s="42">
        <f t="shared" si="2"/>
        <v>1051.2</v>
      </c>
      <c r="K110" s="42">
        <f t="shared" si="2"/>
        <v>1070</v>
      </c>
      <c r="L110" s="42">
        <f t="shared" si="2"/>
        <v>1097.9000000000001</v>
      </c>
      <c r="M110" s="42">
        <f t="shared" ref="M110" si="3">M107-M111</f>
        <v>1078.3</v>
      </c>
      <c r="N110" s="42">
        <f t="shared" si="2"/>
        <v>1080</v>
      </c>
      <c r="O110" s="29"/>
      <c r="P110" s="25"/>
      <c r="Q110" s="23"/>
      <c r="R110" s="25"/>
      <c r="S110" s="23"/>
      <c r="T110" s="25"/>
      <c r="U110" s="23"/>
      <c r="V110" s="25"/>
      <c r="W110" s="23"/>
    </row>
    <row r="111" spans="1:24" s="6" customFormat="1" ht="18.75" x14ac:dyDescent="0.2">
      <c r="A111" s="15" t="s">
        <v>108</v>
      </c>
      <c r="B111" s="13" t="s">
        <v>185</v>
      </c>
      <c r="C111" s="53">
        <v>497.9</v>
      </c>
      <c r="D111" s="13">
        <v>257.60000000000002</v>
      </c>
      <c r="E111" s="42">
        <f t="shared" ref="E111:N111" si="4">E112+E114+E115+E119</f>
        <v>272</v>
      </c>
      <c r="F111" s="42">
        <f t="shared" si="4"/>
        <v>250</v>
      </c>
      <c r="G111" s="42">
        <f>G112+G114+G115+G119</f>
        <v>462</v>
      </c>
      <c r="H111" s="42">
        <f>H112+H114+H115+H119</f>
        <v>467</v>
      </c>
      <c r="I111" s="42">
        <f t="shared" si="4"/>
        <v>235</v>
      </c>
      <c r="J111" s="42">
        <f t="shared" si="4"/>
        <v>290</v>
      </c>
      <c r="K111" s="42">
        <f t="shared" si="4"/>
        <v>280</v>
      </c>
      <c r="L111" s="42">
        <f t="shared" si="4"/>
        <v>277</v>
      </c>
      <c r="M111" s="42">
        <f t="shared" ref="M111" si="5">M112+M114+M115+M119</f>
        <v>330</v>
      </c>
      <c r="N111" s="42">
        <f t="shared" si="4"/>
        <v>330</v>
      </c>
      <c r="O111" s="29"/>
      <c r="P111" s="25"/>
      <c r="Q111" s="23"/>
      <c r="R111" s="25"/>
      <c r="S111" s="23"/>
      <c r="T111" s="25"/>
      <c r="U111" s="23"/>
      <c r="V111" s="25"/>
      <c r="W111" s="23"/>
    </row>
    <row r="112" spans="1:24" s="6" customFormat="1" ht="18.75" x14ac:dyDescent="0.2">
      <c r="A112" s="12" t="s">
        <v>186</v>
      </c>
      <c r="B112" s="13" t="s">
        <v>185</v>
      </c>
      <c r="C112" s="52">
        <v>241.8</v>
      </c>
      <c r="D112" s="13">
        <v>54.7</v>
      </c>
      <c r="E112" s="43">
        <v>50</v>
      </c>
      <c r="F112" s="41">
        <v>45</v>
      </c>
      <c r="G112" s="42">
        <f>G113+G115+G116+G120</f>
        <v>245</v>
      </c>
      <c r="H112" s="42">
        <f>113:113+H115+H116+H120</f>
        <v>265</v>
      </c>
      <c r="I112" s="41">
        <v>45</v>
      </c>
      <c r="J112" s="43">
        <v>50</v>
      </c>
      <c r="K112" s="43">
        <v>55</v>
      </c>
      <c r="L112" s="41">
        <v>47</v>
      </c>
      <c r="M112" s="44">
        <v>60</v>
      </c>
      <c r="N112" s="44">
        <v>60</v>
      </c>
      <c r="O112" s="29"/>
      <c r="P112" s="25"/>
      <c r="Q112" s="23"/>
      <c r="R112" s="25"/>
      <c r="S112" s="23"/>
      <c r="T112" s="25"/>
      <c r="U112" s="23"/>
      <c r="V112" s="25"/>
      <c r="W112" s="23"/>
    </row>
    <row r="113" spans="1:23" s="6" customFormat="1" ht="18.75" x14ac:dyDescent="0.2">
      <c r="A113" s="12" t="s">
        <v>187</v>
      </c>
      <c r="B113" s="13" t="s">
        <v>185</v>
      </c>
      <c r="C113" s="52"/>
      <c r="D113" s="13"/>
      <c r="E113" s="43"/>
      <c r="F113" s="41"/>
      <c r="G113" s="42"/>
      <c r="H113" s="43"/>
      <c r="I113" s="41"/>
      <c r="J113" s="43"/>
      <c r="K113" s="43"/>
      <c r="L113" s="41"/>
      <c r="M113" s="44"/>
      <c r="N113" s="44"/>
      <c r="O113" s="29"/>
      <c r="P113" s="24"/>
      <c r="Q113" s="23"/>
      <c r="R113" s="24"/>
      <c r="S113" s="23"/>
      <c r="T113" s="24"/>
      <c r="U113" s="23"/>
      <c r="V113" s="24"/>
      <c r="W113" s="23"/>
    </row>
    <row r="114" spans="1:23" s="6" customFormat="1" ht="37.5" x14ac:dyDescent="0.2">
      <c r="A114" s="12" t="s">
        <v>188</v>
      </c>
      <c r="B114" s="13" t="s">
        <v>185</v>
      </c>
      <c r="C114" s="52">
        <v>40.9</v>
      </c>
      <c r="D114" s="13"/>
      <c r="E114" s="43">
        <v>42</v>
      </c>
      <c r="F114" s="41">
        <v>30</v>
      </c>
      <c r="G114" s="43">
        <v>30</v>
      </c>
      <c r="H114" s="43"/>
      <c r="I114" s="41">
        <v>30</v>
      </c>
      <c r="J114" s="43">
        <v>40</v>
      </c>
      <c r="K114" s="43">
        <v>40</v>
      </c>
      <c r="L114" s="41">
        <v>30</v>
      </c>
      <c r="M114" s="44">
        <v>50</v>
      </c>
      <c r="N114" s="44">
        <v>50</v>
      </c>
      <c r="O114" s="29"/>
      <c r="P114" s="24"/>
      <c r="Q114" s="23"/>
      <c r="R114" s="24"/>
      <c r="S114" s="23"/>
      <c r="T114" s="24"/>
      <c r="U114" s="23"/>
      <c r="V114" s="24"/>
      <c r="W114" s="23"/>
    </row>
    <row r="115" spans="1:23" s="6" customFormat="1" ht="37.5" x14ac:dyDescent="0.2">
      <c r="A115" s="12" t="s">
        <v>189</v>
      </c>
      <c r="B115" s="13" t="s">
        <v>185</v>
      </c>
      <c r="C115" s="52">
        <v>215.2</v>
      </c>
      <c r="D115" s="13">
        <v>170.7</v>
      </c>
      <c r="E115" s="43">
        <v>180</v>
      </c>
      <c r="F115" s="41">
        <f t="shared" ref="F115:N115" si="6">F116+F117+F118</f>
        <v>154</v>
      </c>
      <c r="G115" s="41">
        <f t="shared" si="6"/>
        <v>165</v>
      </c>
      <c r="H115" s="41">
        <f t="shared" si="6"/>
        <v>180</v>
      </c>
      <c r="I115" s="41">
        <f t="shared" si="6"/>
        <v>135</v>
      </c>
      <c r="J115" s="41">
        <f>J116+J117+J118</f>
        <v>170</v>
      </c>
      <c r="K115" s="41">
        <f>K116+K117+K118</f>
        <v>185</v>
      </c>
      <c r="L115" s="41">
        <f t="shared" si="6"/>
        <v>170</v>
      </c>
      <c r="M115" s="41">
        <f t="shared" ref="M115" si="7">M116+M117+M118</f>
        <v>190</v>
      </c>
      <c r="N115" s="41">
        <f t="shared" si="6"/>
        <v>190</v>
      </c>
      <c r="O115" s="29"/>
      <c r="P115" s="24"/>
      <c r="Q115" s="23"/>
      <c r="R115" s="24"/>
      <c r="S115" s="23"/>
      <c r="T115" s="24"/>
      <c r="U115" s="23"/>
      <c r="V115" s="24"/>
      <c r="W115" s="23"/>
    </row>
    <row r="116" spans="1:23" s="6" customFormat="1" ht="18.75" x14ac:dyDescent="0.2">
      <c r="A116" s="15" t="s">
        <v>203</v>
      </c>
      <c r="B116" s="13" t="s">
        <v>185</v>
      </c>
      <c r="C116" s="53">
        <v>70.3</v>
      </c>
      <c r="D116" s="13">
        <v>17.3</v>
      </c>
      <c r="E116" s="42">
        <v>70</v>
      </c>
      <c r="F116" s="41">
        <v>76</v>
      </c>
      <c r="G116" s="42">
        <v>80</v>
      </c>
      <c r="H116" s="42">
        <v>85</v>
      </c>
      <c r="I116" s="41">
        <v>20</v>
      </c>
      <c r="J116" s="42">
        <v>30</v>
      </c>
      <c r="K116" s="42">
        <v>35</v>
      </c>
      <c r="L116" s="41">
        <v>40</v>
      </c>
      <c r="M116" s="45">
        <v>50</v>
      </c>
      <c r="N116" s="45">
        <v>50</v>
      </c>
      <c r="O116" s="29"/>
      <c r="P116" s="25"/>
      <c r="Q116" s="23"/>
      <c r="R116" s="25"/>
      <c r="S116" s="23"/>
      <c r="T116" s="25"/>
      <c r="U116" s="23"/>
      <c r="V116" s="25"/>
      <c r="W116" s="23"/>
    </row>
    <row r="117" spans="1:23" s="6" customFormat="1" ht="37.5" x14ac:dyDescent="0.2">
      <c r="A117" s="15" t="s">
        <v>201</v>
      </c>
      <c r="B117" s="13" t="s">
        <v>185</v>
      </c>
      <c r="C117" s="53">
        <v>51.1</v>
      </c>
      <c r="D117" s="13">
        <v>87.3</v>
      </c>
      <c r="E117" s="42">
        <v>90</v>
      </c>
      <c r="F117" s="41">
        <v>60</v>
      </c>
      <c r="G117" s="42">
        <v>65</v>
      </c>
      <c r="H117" s="42">
        <v>70</v>
      </c>
      <c r="I117" s="41">
        <v>70</v>
      </c>
      <c r="J117" s="42">
        <v>90</v>
      </c>
      <c r="K117" s="42">
        <v>95</v>
      </c>
      <c r="L117" s="41">
        <v>90</v>
      </c>
      <c r="M117" s="45">
        <v>95</v>
      </c>
      <c r="N117" s="45">
        <v>95</v>
      </c>
      <c r="O117" s="70"/>
      <c r="P117" s="22"/>
      <c r="Q117" s="22"/>
      <c r="R117" s="22"/>
      <c r="S117" s="22"/>
      <c r="T117" s="22"/>
      <c r="U117" s="22"/>
      <c r="V117" s="22"/>
      <c r="W117" s="22"/>
    </row>
    <row r="118" spans="1:23" s="6" customFormat="1" ht="18.75" x14ac:dyDescent="0.2">
      <c r="A118" s="15" t="s">
        <v>202</v>
      </c>
      <c r="B118" s="13" t="s">
        <v>185</v>
      </c>
      <c r="C118" s="53">
        <v>93.8</v>
      </c>
      <c r="D118" s="13">
        <v>66.099999999999994</v>
      </c>
      <c r="E118" s="42">
        <v>20</v>
      </c>
      <c r="F118" s="41">
        <v>18</v>
      </c>
      <c r="G118" s="42">
        <v>20</v>
      </c>
      <c r="H118" s="42">
        <v>25</v>
      </c>
      <c r="I118" s="41">
        <v>45</v>
      </c>
      <c r="J118" s="42">
        <v>50</v>
      </c>
      <c r="K118" s="42">
        <v>55</v>
      </c>
      <c r="L118" s="41">
        <v>40</v>
      </c>
      <c r="M118" s="45">
        <v>45</v>
      </c>
      <c r="N118" s="45">
        <v>45</v>
      </c>
      <c r="O118" s="27"/>
      <c r="P118" s="19"/>
      <c r="Q118" s="19"/>
      <c r="R118" s="19"/>
      <c r="S118" s="19"/>
      <c r="T118" s="19"/>
      <c r="U118" s="19"/>
      <c r="V118" s="19"/>
      <c r="W118" s="19"/>
    </row>
    <row r="119" spans="1:23" s="6" customFormat="1" ht="18.75" x14ac:dyDescent="0.2">
      <c r="A119" s="12" t="s">
        <v>190</v>
      </c>
      <c r="B119" s="13" t="s">
        <v>185</v>
      </c>
      <c r="C119" s="52"/>
      <c r="D119" s="13">
        <v>32.200000000000003</v>
      </c>
      <c r="E119" s="43"/>
      <c r="F119" s="41">
        <v>21</v>
      </c>
      <c r="G119" s="43">
        <v>22</v>
      </c>
      <c r="H119" s="43">
        <v>22</v>
      </c>
      <c r="I119" s="41">
        <v>25</v>
      </c>
      <c r="J119" s="43">
        <v>30</v>
      </c>
      <c r="K119" s="43"/>
      <c r="L119" s="41">
        <v>30</v>
      </c>
      <c r="M119" s="44">
        <v>30</v>
      </c>
      <c r="N119" s="44">
        <v>30</v>
      </c>
      <c r="O119" s="27"/>
      <c r="P119" s="19"/>
      <c r="Q119" s="19"/>
      <c r="R119" s="19"/>
      <c r="S119" s="19"/>
      <c r="T119" s="19"/>
      <c r="U119" s="19"/>
      <c r="V119" s="19"/>
      <c r="W119" s="19"/>
    </row>
    <row r="120" spans="1:23" s="6" customFormat="1" ht="29.25" customHeight="1" x14ac:dyDescent="0.2">
      <c r="A120" s="12" t="s">
        <v>174</v>
      </c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27"/>
      <c r="P120" s="19"/>
      <c r="Q120" s="19"/>
      <c r="R120" s="19"/>
      <c r="S120" s="19"/>
      <c r="T120" s="19"/>
      <c r="U120" s="19"/>
      <c r="V120" s="19"/>
      <c r="W120" s="19"/>
    </row>
    <row r="121" spans="1:23" s="6" customFormat="1" ht="37.5" x14ac:dyDescent="0.2">
      <c r="A121" s="12" t="s">
        <v>113</v>
      </c>
      <c r="B121" s="52" t="s">
        <v>197</v>
      </c>
      <c r="C121" s="58">
        <f>C122+C135</f>
        <v>3550.01</v>
      </c>
      <c r="D121" s="58">
        <f>D122+D135</f>
        <v>3699.88</v>
      </c>
      <c r="E121" s="58">
        <f>E122+E135</f>
        <v>4439.09</v>
      </c>
      <c r="F121" s="58">
        <f>F122+F135</f>
        <v>4202.79</v>
      </c>
      <c r="G121" s="58">
        <f>G122+G135</f>
        <v>4232.91</v>
      </c>
      <c r="H121" s="58">
        <f t="shared" ref="H121:N121" si="8">H122+H135</f>
        <v>4232.91</v>
      </c>
      <c r="I121" s="58">
        <f t="shared" si="8"/>
        <v>4631.6399999999994</v>
      </c>
      <c r="J121" s="58">
        <f t="shared" si="8"/>
        <v>4661.8099999999995</v>
      </c>
      <c r="K121" s="58">
        <f t="shared" si="8"/>
        <v>4661.8099999999995</v>
      </c>
      <c r="L121" s="58">
        <f t="shared" si="8"/>
        <v>4329.4000000000005</v>
      </c>
      <c r="M121" s="58">
        <f t="shared" si="8"/>
        <v>4354.29</v>
      </c>
      <c r="N121" s="58">
        <f t="shared" si="8"/>
        <v>4354.29</v>
      </c>
      <c r="O121" s="27"/>
      <c r="P121" s="19"/>
      <c r="Q121" s="19"/>
      <c r="R121" s="19"/>
      <c r="S121" s="19"/>
      <c r="T121" s="19"/>
      <c r="U121" s="19"/>
      <c r="V121" s="19"/>
      <c r="W121" s="19"/>
    </row>
    <row r="122" spans="1:23" s="6" customFormat="1" ht="37.5" x14ac:dyDescent="0.2">
      <c r="A122" s="12" t="s">
        <v>109</v>
      </c>
      <c r="B122" s="52" t="s">
        <v>197</v>
      </c>
      <c r="C122" s="57">
        <f>C123+C134</f>
        <v>606.9</v>
      </c>
      <c r="D122" s="57">
        <f>D123+D134</f>
        <v>654.93000000000006</v>
      </c>
      <c r="E122" s="57">
        <f>E123+E134</f>
        <v>575.18999999999994</v>
      </c>
      <c r="F122" s="57">
        <f>F123+F134</f>
        <v>570.16</v>
      </c>
      <c r="G122" s="58">
        <f>G123+G134</f>
        <v>600.28</v>
      </c>
      <c r="H122" s="58">
        <f t="shared" ref="H122:N122" si="9">H123+H134</f>
        <v>600.28</v>
      </c>
      <c r="I122" s="58">
        <f t="shared" si="9"/>
        <v>573.23</v>
      </c>
      <c r="J122" s="58">
        <f t="shared" si="9"/>
        <v>603.4</v>
      </c>
      <c r="K122" s="58">
        <f>K123+K134</f>
        <v>603.4</v>
      </c>
      <c r="L122" s="58">
        <f t="shared" si="9"/>
        <v>595.1</v>
      </c>
      <c r="M122" s="58">
        <f t="shared" si="9"/>
        <v>619.99</v>
      </c>
      <c r="N122" s="58">
        <f t="shared" si="9"/>
        <v>619.99</v>
      </c>
      <c r="O122" s="27"/>
      <c r="P122" s="19"/>
      <c r="Q122" s="19"/>
      <c r="R122" s="19"/>
      <c r="S122" s="19"/>
      <c r="T122" s="19"/>
      <c r="U122" s="19"/>
      <c r="V122" s="19"/>
      <c r="W122" s="19"/>
    </row>
    <row r="123" spans="1:23" s="6" customFormat="1" ht="90.75" customHeight="1" x14ac:dyDescent="0.2">
      <c r="A123" s="12" t="s">
        <v>138</v>
      </c>
      <c r="B123" s="52" t="s">
        <v>197</v>
      </c>
      <c r="C123" s="57">
        <v>426.5</v>
      </c>
      <c r="D123" s="57">
        <v>494.72</v>
      </c>
      <c r="E123" s="57">
        <f>E125+E127+E129+E133+17.15+33.09+8.78+6.37</f>
        <v>449.14</v>
      </c>
      <c r="F123" s="57">
        <f>F125+F127+F128+F129+F133+7.4+6.98+8.1+15.5</f>
        <v>454.43</v>
      </c>
      <c r="G123" s="58">
        <v>481.41</v>
      </c>
      <c r="H123" s="58">
        <v>481.41</v>
      </c>
      <c r="I123" s="58">
        <f>I125+I127+I128+I129+I133+7.1+8+15</f>
        <v>465.69</v>
      </c>
      <c r="J123" s="58">
        <v>491.74</v>
      </c>
      <c r="K123" s="58">
        <v>491.74</v>
      </c>
      <c r="L123" s="58">
        <f>L125+L127+L128+L129+L133+17.5+8+7.1</f>
        <v>487.20000000000005</v>
      </c>
      <c r="M123" s="58">
        <v>508.55</v>
      </c>
      <c r="N123" s="58">
        <v>508.55</v>
      </c>
      <c r="O123" s="27"/>
      <c r="P123" s="19"/>
      <c r="Q123" s="19"/>
      <c r="R123" s="19"/>
      <c r="S123" s="19"/>
      <c r="T123" s="19"/>
      <c r="U123" s="19"/>
      <c r="V123" s="19"/>
      <c r="W123" s="19"/>
    </row>
    <row r="124" spans="1:23" s="6" customFormat="1" ht="18.75" x14ac:dyDescent="0.2">
      <c r="A124" s="12" t="s">
        <v>139</v>
      </c>
      <c r="B124" s="52" t="s">
        <v>197</v>
      </c>
      <c r="C124" s="57"/>
      <c r="D124" s="57"/>
      <c r="E124" s="57"/>
      <c r="F124" s="57"/>
      <c r="G124" s="58"/>
      <c r="H124" s="58"/>
      <c r="I124" s="58"/>
      <c r="J124" s="58"/>
      <c r="K124" s="58"/>
      <c r="L124" s="58"/>
      <c r="M124" s="58"/>
      <c r="N124" s="58"/>
      <c r="O124" s="27"/>
      <c r="P124" s="19"/>
      <c r="Q124" s="19"/>
      <c r="R124" s="19"/>
      <c r="S124" s="19"/>
      <c r="T124" s="19"/>
      <c r="U124" s="19"/>
      <c r="V124" s="19"/>
      <c r="W124" s="19"/>
    </row>
    <row r="125" spans="1:23" s="6" customFormat="1" ht="18.75" x14ac:dyDescent="0.2">
      <c r="A125" s="12" t="s">
        <v>140</v>
      </c>
      <c r="B125" s="52" t="s">
        <v>197</v>
      </c>
      <c r="C125" s="57">
        <v>216.08</v>
      </c>
      <c r="D125" s="57">
        <v>271.52999999999997</v>
      </c>
      <c r="E125" s="57">
        <v>255.38</v>
      </c>
      <c r="F125" s="57">
        <v>253.1</v>
      </c>
      <c r="G125" s="58">
        <v>266.44</v>
      </c>
      <c r="H125" s="58">
        <v>266.44</v>
      </c>
      <c r="I125" s="58">
        <v>265.76</v>
      </c>
      <c r="J125" s="58">
        <v>279.54000000000002</v>
      </c>
      <c r="K125" s="58">
        <v>279.54000000000002</v>
      </c>
      <c r="L125" s="58">
        <v>279.04000000000002</v>
      </c>
      <c r="M125" s="58">
        <v>293.27999999999997</v>
      </c>
      <c r="N125" s="58">
        <v>293.27999999999997</v>
      </c>
      <c r="O125" s="27"/>
      <c r="P125" s="19"/>
      <c r="Q125" s="19"/>
      <c r="R125" s="19"/>
      <c r="S125" s="19"/>
      <c r="T125" s="19"/>
      <c r="U125" s="19"/>
      <c r="V125" s="19"/>
      <c r="W125" s="19"/>
    </row>
    <row r="126" spans="1:23" s="6" customFormat="1" ht="37.5" x14ac:dyDescent="0.3">
      <c r="A126" s="12" t="s">
        <v>141</v>
      </c>
      <c r="B126" s="52" t="s">
        <v>197</v>
      </c>
      <c r="C126" s="57"/>
      <c r="D126" s="57"/>
      <c r="E126" s="57"/>
      <c r="F126" s="57"/>
      <c r="G126" s="58"/>
      <c r="H126" s="58"/>
      <c r="I126" s="58"/>
      <c r="J126" s="58"/>
      <c r="K126" s="58"/>
      <c r="L126" s="58"/>
      <c r="M126" s="58"/>
      <c r="N126" s="58"/>
      <c r="O126" s="30"/>
      <c r="P126" s="26"/>
      <c r="Q126" s="26"/>
      <c r="R126" s="26"/>
      <c r="S126" s="26"/>
      <c r="T126" s="26"/>
      <c r="U126" s="26"/>
      <c r="V126" s="26"/>
      <c r="W126" s="26"/>
    </row>
    <row r="127" spans="1:23" s="6" customFormat="1" ht="18.75" x14ac:dyDescent="0.3">
      <c r="A127" s="12" t="s">
        <v>142</v>
      </c>
      <c r="B127" s="52" t="s">
        <v>197</v>
      </c>
      <c r="C127" s="57">
        <v>34.5</v>
      </c>
      <c r="D127" s="57">
        <v>39.46</v>
      </c>
      <c r="E127" s="57">
        <v>35.72</v>
      </c>
      <c r="F127" s="57">
        <v>39.46</v>
      </c>
      <c r="G127" s="58">
        <v>42.04</v>
      </c>
      <c r="H127" s="58">
        <v>42.04</v>
      </c>
      <c r="I127" s="58">
        <v>41.12</v>
      </c>
      <c r="J127" s="58">
        <v>44.09</v>
      </c>
      <c r="K127" s="58">
        <v>44.09</v>
      </c>
      <c r="L127" s="58">
        <v>42.35</v>
      </c>
      <c r="M127" s="58">
        <v>44.05</v>
      </c>
      <c r="N127" s="58">
        <v>44.05</v>
      </c>
      <c r="O127" s="30"/>
      <c r="P127" s="26"/>
      <c r="Q127" s="26"/>
      <c r="R127" s="26"/>
      <c r="S127" s="26"/>
      <c r="T127" s="26"/>
      <c r="U127" s="26"/>
      <c r="V127" s="26"/>
      <c r="W127" s="26"/>
    </row>
    <row r="128" spans="1:23" s="6" customFormat="1" ht="56.25" x14ac:dyDescent="0.3">
      <c r="A128" s="12" t="s">
        <v>143</v>
      </c>
      <c r="B128" s="52" t="s">
        <v>197</v>
      </c>
      <c r="C128" s="57"/>
      <c r="D128" s="57"/>
      <c r="E128" s="57"/>
      <c r="F128" s="57">
        <v>30.22</v>
      </c>
      <c r="G128" s="58">
        <v>31.82</v>
      </c>
      <c r="H128" s="58">
        <v>31.82</v>
      </c>
      <c r="I128" s="58">
        <v>31.13</v>
      </c>
      <c r="J128" s="58">
        <v>32.76</v>
      </c>
      <c r="K128" s="58">
        <v>32.76</v>
      </c>
      <c r="L128" s="58">
        <v>32.299999999999997</v>
      </c>
      <c r="M128" s="58">
        <v>34.03</v>
      </c>
      <c r="N128" s="58">
        <v>34.03</v>
      </c>
      <c r="O128" s="30"/>
      <c r="P128" s="26"/>
      <c r="Q128" s="26"/>
      <c r="R128" s="26"/>
      <c r="S128" s="26"/>
      <c r="T128" s="26"/>
      <c r="U128" s="26"/>
      <c r="V128" s="26"/>
      <c r="W128" s="26"/>
    </row>
    <row r="129" spans="1:23" s="6" customFormat="1" ht="37.5" x14ac:dyDescent="0.3">
      <c r="A129" s="12" t="s">
        <v>144</v>
      </c>
      <c r="B129" s="52" t="s">
        <v>197</v>
      </c>
      <c r="C129" s="59">
        <v>23.75</v>
      </c>
      <c r="D129" s="59">
        <v>30.33</v>
      </c>
      <c r="E129" s="59">
        <v>25.37</v>
      </c>
      <c r="F129" s="59">
        <v>29.5</v>
      </c>
      <c r="G129" s="60">
        <v>31.1</v>
      </c>
      <c r="H129" s="60">
        <v>31.1</v>
      </c>
      <c r="I129" s="60">
        <v>30.2</v>
      </c>
      <c r="J129" s="60">
        <v>31.5</v>
      </c>
      <c r="K129" s="60">
        <v>31.5</v>
      </c>
      <c r="L129" s="60">
        <v>31.2</v>
      </c>
      <c r="M129" s="60">
        <v>32</v>
      </c>
      <c r="N129" s="60">
        <v>32</v>
      </c>
      <c r="O129" s="30"/>
      <c r="P129" s="26"/>
      <c r="Q129" s="26"/>
      <c r="R129" s="26"/>
      <c r="S129" s="26"/>
      <c r="T129" s="26"/>
      <c r="U129" s="26"/>
      <c r="V129" s="26"/>
      <c r="W129" s="26"/>
    </row>
    <row r="130" spans="1:23" s="6" customFormat="1" ht="18.75" x14ac:dyDescent="0.3">
      <c r="A130" s="12" t="s">
        <v>145</v>
      </c>
      <c r="B130" s="52" t="s">
        <v>197</v>
      </c>
      <c r="C130" s="59"/>
      <c r="D130" s="59"/>
      <c r="E130" s="59"/>
      <c r="F130" s="59"/>
      <c r="G130" s="60"/>
      <c r="H130" s="60"/>
      <c r="I130" s="60"/>
      <c r="J130" s="60"/>
      <c r="K130" s="60"/>
      <c r="L130" s="60"/>
      <c r="M130" s="60"/>
      <c r="N130" s="60"/>
      <c r="O130" s="30"/>
      <c r="P130" s="26"/>
      <c r="Q130" s="26"/>
      <c r="R130" s="26"/>
      <c r="S130" s="26"/>
      <c r="T130" s="26"/>
      <c r="U130" s="26"/>
      <c r="V130" s="26"/>
      <c r="W130" s="26"/>
    </row>
    <row r="131" spans="1:23" s="6" customFormat="1" ht="18.75" x14ac:dyDescent="0.3">
      <c r="A131" s="12" t="s">
        <v>146</v>
      </c>
      <c r="B131" s="52" t="s">
        <v>197</v>
      </c>
      <c r="C131" s="59"/>
      <c r="D131" s="59"/>
      <c r="E131" s="59"/>
      <c r="F131" s="59"/>
      <c r="G131" s="60"/>
      <c r="H131" s="60"/>
      <c r="I131" s="60"/>
      <c r="J131" s="60"/>
      <c r="K131" s="60"/>
      <c r="L131" s="60"/>
      <c r="M131" s="60"/>
      <c r="N131" s="60"/>
      <c r="O131" s="30"/>
      <c r="P131" s="26"/>
      <c r="Q131" s="26"/>
      <c r="R131" s="26"/>
      <c r="S131" s="26"/>
      <c r="T131" s="26"/>
      <c r="U131" s="26"/>
      <c r="V131" s="26"/>
      <c r="W131" s="26"/>
    </row>
    <row r="132" spans="1:23" s="6" customFormat="1" ht="18.75" x14ac:dyDescent="0.3">
      <c r="A132" s="12" t="s">
        <v>147</v>
      </c>
      <c r="B132" s="52" t="s">
        <v>197</v>
      </c>
      <c r="C132" s="59"/>
      <c r="D132" s="59"/>
      <c r="E132" s="59"/>
      <c r="F132" s="59"/>
      <c r="G132" s="60"/>
      <c r="H132" s="60"/>
      <c r="I132" s="60"/>
      <c r="J132" s="60"/>
      <c r="K132" s="60"/>
      <c r="L132" s="60"/>
      <c r="M132" s="60"/>
      <c r="N132" s="60"/>
      <c r="O132" s="30"/>
      <c r="P132" s="26"/>
      <c r="Q132" s="26"/>
      <c r="R132" s="26"/>
      <c r="S132" s="26"/>
      <c r="T132" s="26"/>
      <c r="U132" s="26"/>
      <c r="V132" s="26"/>
      <c r="W132" s="26"/>
    </row>
    <row r="133" spans="1:23" s="6" customFormat="1" ht="18.75" x14ac:dyDescent="0.3">
      <c r="A133" s="12" t="s">
        <v>148</v>
      </c>
      <c r="B133" s="52" t="s">
        <v>197</v>
      </c>
      <c r="C133" s="59">
        <v>69.19</v>
      </c>
      <c r="D133" s="59">
        <v>70.819999999999993</v>
      </c>
      <c r="E133" s="59">
        <v>67.28</v>
      </c>
      <c r="F133" s="59">
        <v>64.17</v>
      </c>
      <c r="G133" s="60">
        <v>69.3</v>
      </c>
      <c r="H133" s="60">
        <v>69.3</v>
      </c>
      <c r="I133" s="60">
        <v>67.38</v>
      </c>
      <c r="J133" s="60">
        <v>70</v>
      </c>
      <c r="K133" s="60">
        <v>70</v>
      </c>
      <c r="L133" s="60">
        <v>69.709999999999994</v>
      </c>
      <c r="M133" s="60">
        <v>70.7</v>
      </c>
      <c r="N133" s="60">
        <v>70.7</v>
      </c>
      <c r="O133" s="30"/>
      <c r="P133" s="26"/>
      <c r="Q133" s="26"/>
      <c r="R133" s="26"/>
      <c r="S133" s="26"/>
      <c r="T133" s="26"/>
      <c r="U133" s="26"/>
      <c r="V133" s="26"/>
      <c r="W133" s="26"/>
    </row>
    <row r="134" spans="1:23" s="6" customFormat="1" ht="18.75" x14ac:dyDescent="0.3">
      <c r="A134" s="12" t="s">
        <v>110</v>
      </c>
      <c r="B134" s="52" t="s">
        <v>197</v>
      </c>
      <c r="C134" s="59">
        <v>180.4</v>
      </c>
      <c r="D134" s="59">
        <v>160.21</v>
      </c>
      <c r="E134" s="59">
        <v>126.05</v>
      </c>
      <c r="F134" s="59">
        <f>109.31+6.42</f>
        <v>115.73</v>
      </c>
      <c r="G134" s="60">
        <f>112.45+6.42</f>
        <v>118.87</v>
      </c>
      <c r="H134" s="60">
        <f>112.45+6.42</f>
        <v>118.87</v>
      </c>
      <c r="I134" s="60">
        <v>107.54</v>
      </c>
      <c r="J134" s="60">
        <v>111.66</v>
      </c>
      <c r="K134" s="60">
        <v>111.66</v>
      </c>
      <c r="L134" s="60">
        <v>107.9</v>
      </c>
      <c r="M134" s="60">
        <v>111.44</v>
      </c>
      <c r="N134" s="60">
        <v>111.44</v>
      </c>
      <c r="O134" s="30"/>
      <c r="P134" s="26"/>
      <c r="Q134" s="26"/>
      <c r="R134" s="26"/>
      <c r="S134" s="26"/>
      <c r="T134" s="26"/>
      <c r="U134" s="26"/>
      <c r="V134" s="26"/>
      <c r="W134" s="26"/>
    </row>
    <row r="135" spans="1:23" s="6" customFormat="1" ht="37.5" x14ac:dyDescent="0.3">
      <c r="A135" s="12" t="s">
        <v>111</v>
      </c>
      <c r="B135" s="52" t="s">
        <v>197</v>
      </c>
      <c r="C135" s="59">
        <v>2943.11</v>
      </c>
      <c r="D135" s="59">
        <v>3044.95</v>
      </c>
      <c r="E135" s="59">
        <v>3863.9</v>
      </c>
      <c r="F135" s="60">
        <f>3639.05-6.42</f>
        <v>3632.63</v>
      </c>
      <c r="G135" s="60">
        <f>3639.05-6.42</f>
        <v>3632.63</v>
      </c>
      <c r="H135" s="60">
        <f>3639.05-6.42</f>
        <v>3632.63</v>
      </c>
      <c r="I135" s="60">
        <v>4058.41</v>
      </c>
      <c r="J135" s="60">
        <v>4058.41</v>
      </c>
      <c r="K135" s="60">
        <v>4058.41</v>
      </c>
      <c r="L135" s="60">
        <v>3734.3</v>
      </c>
      <c r="M135" s="60">
        <v>3734.3</v>
      </c>
      <c r="N135" s="60">
        <v>3734.3</v>
      </c>
      <c r="O135" s="30"/>
      <c r="P135" s="26"/>
      <c r="Q135" s="26"/>
      <c r="R135" s="26"/>
      <c r="S135" s="26"/>
      <c r="T135" s="26"/>
      <c r="U135" s="26"/>
      <c r="V135" s="26"/>
      <c r="W135" s="26"/>
    </row>
    <row r="136" spans="1:23" s="6" customFormat="1" ht="37.5" x14ac:dyDescent="0.3">
      <c r="A136" s="12" t="s">
        <v>149</v>
      </c>
      <c r="B136" s="52" t="s">
        <v>197</v>
      </c>
      <c r="C136" s="59">
        <v>693.28</v>
      </c>
      <c r="D136" s="59">
        <v>786.38</v>
      </c>
      <c r="E136" s="59">
        <v>943.37</v>
      </c>
      <c r="F136" s="60">
        <v>566.15</v>
      </c>
      <c r="G136" s="60">
        <v>566.15</v>
      </c>
      <c r="H136" s="60">
        <v>566.15</v>
      </c>
      <c r="I136" s="60">
        <v>1026.69</v>
      </c>
      <c r="J136" s="60">
        <v>1026.69</v>
      </c>
      <c r="K136" s="60">
        <v>1026.69</v>
      </c>
      <c r="L136" s="60">
        <v>665.84</v>
      </c>
      <c r="M136" s="60">
        <v>665.84</v>
      </c>
      <c r="N136" s="60">
        <v>665.84</v>
      </c>
      <c r="O136" s="30"/>
      <c r="P136" s="26"/>
      <c r="Q136" s="26"/>
      <c r="R136" s="26"/>
      <c r="S136" s="26"/>
      <c r="T136" s="26"/>
      <c r="U136" s="26"/>
      <c r="V136" s="26"/>
      <c r="W136" s="26"/>
    </row>
    <row r="137" spans="1:23" s="6" customFormat="1" ht="37.5" x14ac:dyDescent="0.3">
      <c r="A137" s="12" t="s">
        <v>150</v>
      </c>
      <c r="B137" s="52" t="s">
        <v>197</v>
      </c>
      <c r="C137" s="59">
        <v>1663.57</v>
      </c>
      <c r="D137" s="59">
        <v>1688.54</v>
      </c>
      <c r="E137" s="59">
        <v>2153.79</v>
      </c>
      <c r="F137" s="60">
        <v>2232.65</v>
      </c>
      <c r="G137" s="60">
        <v>2232.65</v>
      </c>
      <c r="H137" s="60">
        <v>2232.65</v>
      </c>
      <c r="I137" s="60">
        <v>2259.79</v>
      </c>
      <c r="J137" s="60">
        <v>2259.79</v>
      </c>
      <c r="K137" s="60">
        <v>2259.79</v>
      </c>
      <c r="L137" s="60">
        <v>2306.5</v>
      </c>
      <c r="M137" s="60">
        <v>2306.5</v>
      </c>
      <c r="N137" s="60">
        <v>2306.5</v>
      </c>
      <c r="O137" s="30"/>
      <c r="P137" s="26"/>
      <c r="Q137" s="26"/>
      <c r="R137" s="26"/>
      <c r="S137" s="26"/>
      <c r="T137" s="26"/>
      <c r="U137" s="26"/>
      <c r="V137" s="26"/>
      <c r="W137" s="26"/>
    </row>
    <row r="138" spans="1:23" s="6" customFormat="1" ht="37.5" x14ac:dyDescent="0.3">
      <c r="A138" s="12" t="s">
        <v>151</v>
      </c>
      <c r="B138" s="52" t="s">
        <v>197</v>
      </c>
      <c r="C138" s="59">
        <v>549.04</v>
      </c>
      <c r="D138" s="59">
        <v>514.29</v>
      </c>
      <c r="E138" s="59">
        <v>741.86</v>
      </c>
      <c r="F138" s="60">
        <v>766.02</v>
      </c>
      <c r="G138" s="60">
        <v>766.02</v>
      </c>
      <c r="H138" s="60">
        <v>766.02</v>
      </c>
      <c r="I138" s="60">
        <v>704.74</v>
      </c>
      <c r="J138" s="60">
        <v>704.74</v>
      </c>
      <c r="K138" s="60">
        <v>704.74</v>
      </c>
      <c r="L138" s="60">
        <v>694.7</v>
      </c>
      <c r="M138" s="60">
        <v>694.7</v>
      </c>
      <c r="N138" s="60">
        <v>694.7</v>
      </c>
      <c r="O138" s="30"/>
      <c r="P138" s="26"/>
      <c r="Q138" s="26"/>
      <c r="R138" s="26"/>
      <c r="S138" s="26"/>
      <c r="T138" s="26"/>
      <c r="U138" s="26"/>
      <c r="V138" s="26"/>
      <c r="W138" s="26"/>
    </row>
    <row r="139" spans="1:23" s="6" customFormat="1" ht="37.5" x14ac:dyDescent="0.3">
      <c r="A139" s="12" t="s">
        <v>152</v>
      </c>
      <c r="B139" s="52" t="s">
        <v>197</v>
      </c>
      <c r="C139" s="59">
        <v>449.04</v>
      </c>
      <c r="D139" s="59">
        <v>513.29</v>
      </c>
      <c r="E139" s="59">
        <v>650.13</v>
      </c>
      <c r="F139" s="60">
        <v>766.02</v>
      </c>
      <c r="G139" s="60">
        <v>766.02</v>
      </c>
      <c r="H139" s="60">
        <v>766.02</v>
      </c>
      <c r="I139" s="60">
        <v>704.74</v>
      </c>
      <c r="J139" s="60">
        <v>704.74</v>
      </c>
      <c r="K139" s="60">
        <v>704.74</v>
      </c>
      <c r="L139" s="60">
        <v>694.7</v>
      </c>
      <c r="M139" s="60">
        <v>694.7</v>
      </c>
      <c r="N139" s="60">
        <v>694.7</v>
      </c>
      <c r="O139" s="30"/>
      <c r="P139" s="26"/>
      <c r="Q139" s="26"/>
      <c r="R139" s="26"/>
      <c r="S139" s="26"/>
      <c r="T139" s="26"/>
      <c r="U139" s="26"/>
      <c r="V139" s="26"/>
      <c r="W139" s="26"/>
    </row>
    <row r="140" spans="1:23" s="6" customFormat="1" ht="56.25" x14ac:dyDescent="0.3">
      <c r="A140" s="12" t="s">
        <v>175</v>
      </c>
      <c r="B140" s="52" t="s">
        <v>197</v>
      </c>
      <c r="C140" s="60">
        <f t="shared" ref="C140:N140" si="10">SUM(C141:C153)</f>
        <v>3438.15</v>
      </c>
      <c r="D140" s="60">
        <f t="shared" si="10"/>
        <v>3762.9700000000003</v>
      </c>
      <c r="E140" s="60">
        <f t="shared" si="10"/>
        <v>4392.7500000000009</v>
      </c>
      <c r="F140" s="60">
        <f t="shared" si="10"/>
        <v>4241.1129300000002</v>
      </c>
      <c r="G140" s="60">
        <f t="shared" si="10"/>
        <v>4271.0099999999993</v>
      </c>
      <c r="H140" s="60">
        <f t="shared" si="10"/>
        <v>4271.0099999999993</v>
      </c>
      <c r="I140" s="60">
        <f t="shared" si="10"/>
        <v>4631.6382350000003</v>
      </c>
      <c r="J140" s="60">
        <f t="shared" si="10"/>
        <v>4661.8100000000004</v>
      </c>
      <c r="K140" s="60">
        <f t="shared" si="10"/>
        <v>4661.8100000000004</v>
      </c>
      <c r="L140" s="60">
        <f t="shared" si="10"/>
        <v>4329.4005470000002</v>
      </c>
      <c r="M140" s="60">
        <f t="shared" si="10"/>
        <v>4354.2900000000009</v>
      </c>
      <c r="N140" s="60">
        <f t="shared" si="10"/>
        <v>4354.2900000000009</v>
      </c>
      <c r="O140" s="61"/>
      <c r="P140" s="26"/>
      <c r="Q140" s="26"/>
      <c r="R140" s="26"/>
      <c r="S140" s="26"/>
      <c r="T140" s="26"/>
      <c r="U140" s="26"/>
      <c r="V140" s="26"/>
      <c r="W140" s="26"/>
    </row>
    <row r="141" spans="1:23" s="6" customFormat="1" ht="18.75" x14ac:dyDescent="0.3">
      <c r="A141" s="12" t="s">
        <v>153</v>
      </c>
      <c r="B141" s="52" t="s">
        <v>197</v>
      </c>
      <c r="C141" s="59">
        <v>263.85000000000002</v>
      </c>
      <c r="D141" s="59">
        <v>263.92</v>
      </c>
      <c r="E141" s="59">
        <v>296.76</v>
      </c>
      <c r="F141" s="59">
        <f>G141-(G141*0.7%)</f>
        <v>290.65109999999999</v>
      </c>
      <c r="G141" s="60">
        <v>292.7</v>
      </c>
      <c r="H141" s="60">
        <v>292.7</v>
      </c>
      <c r="I141" s="60">
        <f>J141-(J141*0.65%)</f>
        <v>274.06691000000001</v>
      </c>
      <c r="J141" s="60">
        <v>275.86</v>
      </c>
      <c r="K141" s="60">
        <v>275.86</v>
      </c>
      <c r="L141" s="60">
        <f t="shared" ref="L141:L153" si="11">M141-(M141*0.57%)</f>
        <v>265.95536400000003</v>
      </c>
      <c r="M141" s="60">
        <v>267.48</v>
      </c>
      <c r="N141" s="60">
        <v>267.48</v>
      </c>
      <c r="O141" s="61"/>
      <c r="P141" s="26"/>
      <c r="Q141" s="26"/>
      <c r="R141" s="26"/>
      <c r="S141" s="26"/>
      <c r="T141" s="26"/>
      <c r="U141" s="26"/>
      <c r="V141" s="26"/>
      <c r="W141" s="26"/>
    </row>
    <row r="142" spans="1:23" s="6" customFormat="1" ht="18.75" x14ac:dyDescent="0.3">
      <c r="A142" s="12" t="s">
        <v>154</v>
      </c>
      <c r="B142" s="52" t="s">
        <v>197</v>
      </c>
      <c r="C142" s="59">
        <v>0</v>
      </c>
      <c r="D142" s="59">
        <v>0</v>
      </c>
      <c r="E142" s="59">
        <v>0</v>
      </c>
      <c r="F142" s="59">
        <f t="shared" ref="F142:F153" si="12">G142-(G142*0.7%)</f>
        <v>0</v>
      </c>
      <c r="G142" s="60">
        <v>0</v>
      </c>
      <c r="H142" s="60">
        <v>0</v>
      </c>
      <c r="I142" s="60">
        <f t="shared" ref="I142:I153" si="13">J142-(J142*0.65%)</f>
        <v>0</v>
      </c>
      <c r="J142" s="60">
        <v>0</v>
      </c>
      <c r="K142" s="60">
        <v>0</v>
      </c>
      <c r="L142" s="60">
        <f t="shared" si="11"/>
        <v>0</v>
      </c>
      <c r="M142" s="60">
        <v>0</v>
      </c>
      <c r="N142" s="60">
        <v>0</v>
      </c>
      <c r="O142" s="61"/>
      <c r="P142" s="26"/>
      <c r="Q142" s="26"/>
      <c r="R142" s="26"/>
      <c r="S142" s="26"/>
      <c r="T142" s="26"/>
      <c r="U142" s="26"/>
      <c r="V142" s="26"/>
      <c r="W142" s="26"/>
    </row>
    <row r="143" spans="1:23" s="6" customFormat="1" ht="56.25" x14ac:dyDescent="0.3">
      <c r="A143" s="12" t="s">
        <v>155</v>
      </c>
      <c r="B143" s="52" t="s">
        <v>197</v>
      </c>
      <c r="C143" s="59">
        <v>28.63</v>
      </c>
      <c r="D143" s="59">
        <v>29.55</v>
      </c>
      <c r="E143" s="59">
        <v>27.48</v>
      </c>
      <c r="F143" s="59">
        <f t="shared" si="12"/>
        <v>28.36008</v>
      </c>
      <c r="G143" s="60">
        <v>28.56</v>
      </c>
      <c r="H143" s="60">
        <v>28.56</v>
      </c>
      <c r="I143" s="60">
        <f t="shared" si="13"/>
        <v>28.056439999999998</v>
      </c>
      <c r="J143" s="60">
        <v>28.24</v>
      </c>
      <c r="K143" s="60">
        <v>28.24</v>
      </c>
      <c r="L143" s="60">
        <f t="shared" si="11"/>
        <v>28.079031999999998</v>
      </c>
      <c r="M143" s="60">
        <v>28.24</v>
      </c>
      <c r="N143" s="60">
        <v>28.24</v>
      </c>
      <c r="O143" s="61"/>
      <c r="P143" s="26"/>
      <c r="Q143" s="26"/>
      <c r="R143" s="26"/>
      <c r="S143" s="26"/>
      <c r="T143" s="26"/>
      <c r="U143" s="26"/>
      <c r="V143" s="26"/>
      <c r="W143" s="26"/>
    </row>
    <row r="144" spans="1:23" s="6" customFormat="1" ht="18.75" x14ac:dyDescent="0.3">
      <c r="A144" s="12" t="s">
        <v>156</v>
      </c>
      <c r="B144" s="52" t="s">
        <v>197</v>
      </c>
      <c r="C144" s="59">
        <v>265.74</v>
      </c>
      <c r="D144" s="59">
        <v>296.17</v>
      </c>
      <c r="E144" s="59">
        <v>123.37</v>
      </c>
      <c r="F144" s="59">
        <f t="shared" si="12"/>
        <v>282.83618999999999</v>
      </c>
      <c r="G144" s="60">
        <v>284.83</v>
      </c>
      <c r="H144" s="60">
        <v>284.83</v>
      </c>
      <c r="I144" s="60">
        <f t="shared" si="13"/>
        <v>273.78872999999999</v>
      </c>
      <c r="J144" s="60">
        <v>275.58</v>
      </c>
      <c r="K144" s="60">
        <v>275.58</v>
      </c>
      <c r="L144" s="60">
        <f t="shared" si="11"/>
        <v>273.96942200000001</v>
      </c>
      <c r="M144" s="60">
        <v>275.54000000000002</v>
      </c>
      <c r="N144" s="60">
        <v>275.54000000000002</v>
      </c>
      <c r="O144" s="61"/>
      <c r="P144" s="26"/>
      <c r="Q144" s="26"/>
      <c r="R144" s="26"/>
      <c r="S144" s="26"/>
      <c r="T144" s="26"/>
      <c r="U144" s="26"/>
      <c r="V144" s="26"/>
      <c r="W144" s="26"/>
    </row>
    <row r="145" spans="1:23" s="6" customFormat="1" ht="37.5" x14ac:dyDescent="0.3">
      <c r="A145" s="12" t="s">
        <v>157</v>
      </c>
      <c r="B145" s="52" t="s">
        <v>197</v>
      </c>
      <c r="C145" s="59">
        <v>186.85</v>
      </c>
      <c r="D145" s="59">
        <v>342.58</v>
      </c>
      <c r="E145" s="59">
        <v>273.73</v>
      </c>
      <c r="F145" s="59">
        <f t="shared" si="12"/>
        <v>263.98905000000002</v>
      </c>
      <c r="G145" s="60">
        <v>265.85000000000002</v>
      </c>
      <c r="H145" s="60">
        <v>265.85000000000002</v>
      </c>
      <c r="I145" s="60">
        <f t="shared" si="13"/>
        <v>237.92337999999998</v>
      </c>
      <c r="J145" s="60">
        <v>239.48</v>
      </c>
      <c r="K145" s="60">
        <v>239.48</v>
      </c>
      <c r="L145" s="60">
        <f t="shared" si="11"/>
        <v>318.91178200000002</v>
      </c>
      <c r="M145" s="60">
        <v>320.74</v>
      </c>
      <c r="N145" s="60">
        <v>320.74</v>
      </c>
      <c r="O145" s="61"/>
      <c r="P145" s="26"/>
      <c r="Q145" s="26"/>
      <c r="R145" s="26"/>
      <c r="S145" s="26"/>
      <c r="T145" s="26"/>
      <c r="U145" s="26"/>
      <c r="V145" s="26"/>
      <c r="W145" s="26"/>
    </row>
    <row r="146" spans="1:23" s="6" customFormat="1" ht="18.75" x14ac:dyDescent="0.3">
      <c r="A146" s="12" t="s">
        <v>158</v>
      </c>
      <c r="B146" s="52" t="s">
        <v>197</v>
      </c>
      <c r="C146" s="59">
        <v>0</v>
      </c>
      <c r="D146" s="59">
        <v>0</v>
      </c>
      <c r="E146" s="59">
        <v>0</v>
      </c>
      <c r="F146" s="59">
        <f t="shared" si="12"/>
        <v>0</v>
      </c>
      <c r="G146" s="60">
        <v>0</v>
      </c>
      <c r="H146" s="60">
        <v>0</v>
      </c>
      <c r="I146" s="60">
        <f t="shared" si="13"/>
        <v>0</v>
      </c>
      <c r="J146" s="60">
        <v>0</v>
      </c>
      <c r="K146" s="60">
        <v>0</v>
      </c>
      <c r="L146" s="60">
        <f t="shared" si="11"/>
        <v>0</v>
      </c>
      <c r="M146" s="60">
        <v>0</v>
      </c>
      <c r="N146" s="60">
        <v>0</v>
      </c>
      <c r="O146" s="61"/>
      <c r="P146" s="26"/>
      <c r="Q146" s="26"/>
      <c r="R146" s="26"/>
      <c r="S146" s="26"/>
      <c r="T146" s="26"/>
      <c r="U146" s="26"/>
      <c r="V146" s="26"/>
      <c r="W146" s="26"/>
    </row>
    <row r="147" spans="1:23" s="6" customFormat="1" ht="18.75" x14ac:dyDescent="0.3">
      <c r="A147" s="12" t="s">
        <v>159</v>
      </c>
      <c r="B147" s="52" t="s">
        <v>197</v>
      </c>
      <c r="C147" s="59">
        <v>1583.96</v>
      </c>
      <c r="D147" s="59">
        <v>1582.33</v>
      </c>
      <c r="E147" s="59">
        <v>1947.88</v>
      </c>
      <c r="F147" s="59">
        <f t="shared" si="12"/>
        <v>1731.2657100000001</v>
      </c>
      <c r="G147" s="60">
        <v>1743.47</v>
      </c>
      <c r="H147" s="60">
        <v>1743.47</v>
      </c>
      <c r="I147" s="60">
        <f>J147-(J147*0.65%)+0.13</f>
        <v>2188.1349200000004</v>
      </c>
      <c r="J147" s="60">
        <f>2169.52+32.8</f>
        <v>2202.3200000000002</v>
      </c>
      <c r="K147" s="60">
        <f>2169.52+32.8</f>
        <v>2202.3200000000002</v>
      </c>
      <c r="L147" s="60">
        <f>M147-(M147*0.57%)-0.07</f>
        <v>1720.1684300000002</v>
      </c>
      <c r="M147" s="60">
        <f>1664.2+65.9</f>
        <v>1730.1000000000001</v>
      </c>
      <c r="N147" s="60">
        <f>1664.2+65.9</f>
        <v>1730.1000000000001</v>
      </c>
      <c r="O147" s="61"/>
      <c r="P147" s="26"/>
      <c r="Q147" s="26"/>
      <c r="R147" s="26"/>
      <c r="S147" s="26"/>
      <c r="T147" s="26"/>
      <c r="U147" s="26"/>
      <c r="V147" s="26"/>
      <c r="W147" s="26"/>
    </row>
    <row r="148" spans="1:23" s="6" customFormat="1" ht="18.75" x14ac:dyDescent="0.3">
      <c r="A148" s="12" t="s">
        <v>160</v>
      </c>
      <c r="B148" s="52" t="s">
        <v>197</v>
      </c>
      <c r="C148" s="59">
        <v>157.65</v>
      </c>
      <c r="D148" s="59">
        <v>211.37</v>
      </c>
      <c r="E148" s="59">
        <v>139.05000000000001</v>
      </c>
      <c r="F148" s="59">
        <f t="shared" si="12"/>
        <v>171.26271</v>
      </c>
      <c r="G148" s="60">
        <v>172.47</v>
      </c>
      <c r="H148" s="60">
        <v>172.47</v>
      </c>
      <c r="I148" s="60">
        <f t="shared" si="13"/>
        <v>170.395185</v>
      </c>
      <c r="J148" s="60">
        <v>171.51</v>
      </c>
      <c r="K148" s="60">
        <v>171.51</v>
      </c>
      <c r="L148" s="60">
        <f t="shared" si="11"/>
        <v>209.55866799999998</v>
      </c>
      <c r="M148" s="60">
        <v>210.76</v>
      </c>
      <c r="N148" s="60">
        <v>210.76</v>
      </c>
      <c r="O148" s="61"/>
      <c r="P148" s="26"/>
      <c r="Q148" s="26"/>
      <c r="R148" s="26"/>
      <c r="S148" s="26"/>
      <c r="T148" s="26"/>
      <c r="U148" s="26"/>
      <c r="V148" s="26"/>
      <c r="W148" s="26"/>
    </row>
    <row r="149" spans="1:23" s="6" customFormat="1" ht="18.75" x14ac:dyDescent="0.3">
      <c r="A149" s="12" t="s">
        <v>161</v>
      </c>
      <c r="B149" s="52" t="s">
        <v>197</v>
      </c>
      <c r="C149" s="59">
        <v>0</v>
      </c>
      <c r="D149" s="59">
        <v>0</v>
      </c>
      <c r="E149" s="59">
        <v>0</v>
      </c>
      <c r="F149" s="59">
        <f t="shared" si="12"/>
        <v>0</v>
      </c>
      <c r="G149" s="60">
        <v>0</v>
      </c>
      <c r="H149" s="60">
        <v>0</v>
      </c>
      <c r="I149" s="60">
        <f t="shared" si="13"/>
        <v>0</v>
      </c>
      <c r="J149" s="60">
        <v>0</v>
      </c>
      <c r="K149" s="60">
        <v>0</v>
      </c>
      <c r="L149" s="60">
        <f t="shared" si="11"/>
        <v>0</v>
      </c>
      <c r="M149" s="60">
        <v>0</v>
      </c>
      <c r="N149" s="60">
        <v>0</v>
      </c>
      <c r="O149" s="61"/>
      <c r="P149" s="26"/>
      <c r="Q149" s="26"/>
      <c r="R149" s="26"/>
      <c r="S149" s="26"/>
      <c r="T149" s="26"/>
      <c r="U149" s="26"/>
      <c r="V149" s="26"/>
      <c r="W149" s="26"/>
    </row>
    <row r="150" spans="1:23" s="6" customFormat="1" ht="18.75" x14ac:dyDescent="0.3">
      <c r="A150" s="12" t="s">
        <v>162</v>
      </c>
      <c r="B150" s="52" t="s">
        <v>197</v>
      </c>
      <c r="C150" s="59">
        <v>910.98</v>
      </c>
      <c r="D150" s="59">
        <v>961.32</v>
      </c>
      <c r="E150" s="59">
        <v>1535.68</v>
      </c>
      <c r="F150" s="59">
        <f t="shared" si="12"/>
        <v>1443.99081</v>
      </c>
      <c r="G150" s="60">
        <v>1454.17</v>
      </c>
      <c r="H150" s="60">
        <v>1454.17</v>
      </c>
      <c r="I150" s="60">
        <f t="shared" si="13"/>
        <v>1439.08475</v>
      </c>
      <c r="J150" s="60">
        <v>1448.5</v>
      </c>
      <c r="K150" s="60">
        <v>1448.5</v>
      </c>
      <c r="L150" s="60">
        <f t="shared" si="11"/>
        <v>1492.623274</v>
      </c>
      <c r="M150" s="60">
        <v>1501.18</v>
      </c>
      <c r="N150" s="60">
        <v>1501.18</v>
      </c>
      <c r="O150" s="61"/>
      <c r="P150" s="26"/>
      <c r="Q150" s="26"/>
      <c r="R150" s="26"/>
      <c r="S150" s="26"/>
      <c r="T150" s="26"/>
      <c r="U150" s="26"/>
      <c r="V150" s="26"/>
      <c r="W150" s="26"/>
    </row>
    <row r="151" spans="1:23" s="6" customFormat="1" ht="18.75" x14ac:dyDescent="0.3">
      <c r="A151" s="12" t="s">
        <v>163</v>
      </c>
      <c r="B151" s="52" t="s">
        <v>197</v>
      </c>
      <c r="C151" s="59">
        <v>40.49</v>
      </c>
      <c r="D151" s="59">
        <v>75.73</v>
      </c>
      <c r="E151" s="59">
        <v>48.8</v>
      </c>
      <c r="F151" s="59">
        <f t="shared" si="12"/>
        <v>27.377009999999999</v>
      </c>
      <c r="G151" s="60">
        <v>27.57</v>
      </c>
      <c r="H151" s="60">
        <v>27.57</v>
      </c>
      <c r="I151" s="60">
        <f t="shared" si="13"/>
        <v>20.187920000000002</v>
      </c>
      <c r="J151" s="60">
        <v>20.32</v>
      </c>
      <c r="K151" s="60">
        <v>20.32</v>
      </c>
      <c r="L151" s="60">
        <f t="shared" si="11"/>
        <v>20.134575000000002</v>
      </c>
      <c r="M151" s="60">
        <v>20.25</v>
      </c>
      <c r="N151" s="60">
        <v>20.25</v>
      </c>
      <c r="O151" s="61"/>
      <c r="P151" s="26"/>
      <c r="Q151" s="26"/>
      <c r="R151" s="26"/>
      <c r="S151" s="26"/>
      <c r="T151" s="26"/>
      <c r="U151" s="26"/>
      <c r="V151" s="26"/>
      <c r="W151" s="26"/>
    </row>
    <row r="152" spans="1:23" s="6" customFormat="1" ht="18.75" x14ac:dyDescent="0.3">
      <c r="A152" s="12" t="s">
        <v>164</v>
      </c>
      <c r="B152" s="52" t="s">
        <v>197</v>
      </c>
      <c r="C152" s="59">
        <v>0</v>
      </c>
      <c r="D152" s="59">
        <v>0</v>
      </c>
      <c r="E152" s="59">
        <v>0</v>
      </c>
      <c r="F152" s="59">
        <f t="shared" si="12"/>
        <v>0</v>
      </c>
      <c r="G152" s="60">
        <v>0</v>
      </c>
      <c r="H152" s="60">
        <v>0</v>
      </c>
      <c r="I152" s="60">
        <f t="shared" si="13"/>
        <v>0</v>
      </c>
      <c r="J152" s="60">
        <v>0</v>
      </c>
      <c r="K152" s="60">
        <v>0</v>
      </c>
      <c r="L152" s="60">
        <f t="shared" si="11"/>
        <v>0</v>
      </c>
      <c r="M152" s="60">
        <v>0</v>
      </c>
      <c r="N152" s="60">
        <v>0</v>
      </c>
      <c r="O152" s="61"/>
      <c r="P152" s="26"/>
      <c r="Q152" s="26"/>
      <c r="R152" s="26"/>
      <c r="S152" s="26"/>
      <c r="T152" s="26"/>
      <c r="U152" s="26"/>
      <c r="V152" s="26"/>
      <c r="W152" s="26"/>
    </row>
    <row r="153" spans="1:23" s="6" customFormat="1" ht="37.5" x14ac:dyDescent="0.3">
      <c r="A153" s="12" t="s">
        <v>165</v>
      </c>
      <c r="B153" s="52" t="s">
        <v>197</v>
      </c>
      <c r="C153" s="59">
        <v>0</v>
      </c>
      <c r="D153" s="59">
        <v>0</v>
      </c>
      <c r="E153" s="59">
        <v>0</v>
      </c>
      <c r="F153" s="59">
        <f t="shared" si="12"/>
        <v>1.3802699999999999</v>
      </c>
      <c r="G153" s="60">
        <v>1.39</v>
      </c>
      <c r="H153" s="60">
        <v>1.39</v>
      </c>
      <c r="I153" s="60">
        <f t="shared" si="13"/>
        <v>0</v>
      </c>
      <c r="J153" s="60">
        <v>0</v>
      </c>
      <c r="K153" s="60">
        <v>0</v>
      </c>
      <c r="L153" s="60">
        <f t="shared" si="11"/>
        <v>0</v>
      </c>
      <c r="M153" s="60">
        <f>N153-(N153*0.57%)</f>
        <v>0</v>
      </c>
      <c r="N153" s="60">
        <f>O153-(O153*0.57%)</f>
        <v>0</v>
      </c>
      <c r="O153" s="74"/>
      <c r="P153" s="22"/>
      <c r="Q153" s="22"/>
      <c r="R153" s="22"/>
      <c r="S153" s="22"/>
      <c r="T153" s="22"/>
      <c r="U153" s="22"/>
      <c r="V153" s="22"/>
      <c r="W153" s="22"/>
    </row>
    <row r="154" spans="1:23" s="6" customFormat="1" ht="37.5" x14ac:dyDescent="0.3">
      <c r="A154" s="12" t="s">
        <v>114</v>
      </c>
      <c r="B154" s="52" t="s">
        <v>197</v>
      </c>
      <c r="C154" s="60">
        <f t="shared" ref="C154:N154" si="14">C121-C140</f>
        <v>111.86000000000013</v>
      </c>
      <c r="D154" s="60">
        <f t="shared" si="14"/>
        <v>-63.090000000000146</v>
      </c>
      <c r="E154" s="60">
        <f>E121-E140</f>
        <v>46.339999999999236</v>
      </c>
      <c r="F154" s="60">
        <f>F121-F140</f>
        <v>-38.32293000000027</v>
      </c>
      <c r="G154" s="60">
        <f t="shared" si="14"/>
        <v>-38.099999999999454</v>
      </c>
      <c r="H154" s="60">
        <f t="shared" si="14"/>
        <v>-38.099999999999454</v>
      </c>
      <c r="I154" s="60">
        <f t="shared" si="14"/>
        <v>1.7649999990680953E-3</v>
      </c>
      <c r="J154" s="60">
        <f t="shared" si="14"/>
        <v>0</v>
      </c>
      <c r="K154" s="60">
        <f t="shared" si="14"/>
        <v>0</v>
      </c>
      <c r="L154" s="60">
        <f t="shared" si="14"/>
        <v>-5.469999996421393E-4</v>
      </c>
      <c r="M154" s="60">
        <f t="shared" si="14"/>
        <v>0</v>
      </c>
      <c r="N154" s="60">
        <f t="shared" si="14"/>
        <v>0</v>
      </c>
      <c r="O154" s="61"/>
      <c r="P154" s="26"/>
      <c r="Q154" s="26"/>
      <c r="R154" s="26"/>
      <c r="S154" s="26"/>
      <c r="T154" s="26"/>
      <c r="U154" s="26"/>
      <c r="V154" s="26"/>
      <c r="W154" s="26"/>
    </row>
    <row r="155" spans="1:23" s="6" customFormat="1" ht="37.5" x14ac:dyDescent="0.3">
      <c r="A155" s="12" t="s">
        <v>115</v>
      </c>
      <c r="B155" s="52" t="s">
        <v>197</v>
      </c>
      <c r="C155" s="59">
        <v>0</v>
      </c>
      <c r="D155" s="59">
        <v>0</v>
      </c>
      <c r="E155" s="59">
        <v>0</v>
      </c>
      <c r="F155" s="59">
        <v>0</v>
      </c>
      <c r="G155" s="60">
        <v>0</v>
      </c>
      <c r="H155" s="60">
        <v>0</v>
      </c>
      <c r="I155" s="60">
        <v>0</v>
      </c>
      <c r="J155" s="60">
        <v>0</v>
      </c>
      <c r="K155" s="60">
        <v>0</v>
      </c>
      <c r="L155" s="60">
        <v>0</v>
      </c>
      <c r="M155" s="60">
        <v>0</v>
      </c>
      <c r="N155" s="60">
        <v>0</v>
      </c>
      <c r="O155" s="61"/>
      <c r="P155" s="26"/>
      <c r="Q155" s="26"/>
      <c r="R155" s="26"/>
      <c r="S155" s="26"/>
      <c r="T155" s="26"/>
      <c r="U155" s="26"/>
      <c r="V155" s="26"/>
      <c r="W155" s="26"/>
    </row>
    <row r="156" spans="1:23" s="6" customFormat="1" ht="18.75" x14ac:dyDescent="0.3">
      <c r="A156" s="12" t="s">
        <v>166</v>
      </c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61"/>
      <c r="P156" s="26"/>
      <c r="Q156" s="26"/>
      <c r="R156" s="26"/>
      <c r="S156" s="26"/>
      <c r="T156" s="26"/>
      <c r="U156" s="26"/>
      <c r="V156" s="26"/>
      <c r="W156" s="26"/>
    </row>
    <row r="157" spans="1:23" s="6" customFormat="1" ht="40.5" customHeight="1" x14ac:dyDescent="0.3">
      <c r="A157" s="12" t="s">
        <v>167</v>
      </c>
      <c r="B157" s="52" t="s">
        <v>21</v>
      </c>
      <c r="C157" s="52">
        <v>101.23</v>
      </c>
      <c r="D157" s="52">
        <v>98</v>
      </c>
      <c r="E157" s="52">
        <v>96.99</v>
      </c>
      <c r="F157" s="52">
        <v>96.99</v>
      </c>
      <c r="G157" s="52">
        <v>97.01</v>
      </c>
      <c r="H157" s="52">
        <v>97.2</v>
      </c>
      <c r="I157" s="52">
        <v>97</v>
      </c>
      <c r="J157" s="52">
        <v>97.2</v>
      </c>
      <c r="K157" s="52">
        <v>97.25</v>
      </c>
      <c r="L157" s="52">
        <v>97.1</v>
      </c>
      <c r="M157" s="52">
        <v>97.5</v>
      </c>
      <c r="N157" s="52">
        <v>97.5</v>
      </c>
      <c r="O157" s="30"/>
      <c r="P157" s="26"/>
      <c r="Q157" s="26"/>
      <c r="R157" s="26"/>
      <c r="S157" s="26"/>
      <c r="T157" s="26"/>
      <c r="U157" s="26"/>
      <c r="V157" s="26"/>
      <c r="W157" s="26"/>
    </row>
    <row r="158" spans="1:23" s="6" customFormat="1" ht="71.25" customHeight="1" x14ac:dyDescent="0.3">
      <c r="A158" s="12" t="s">
        <v>168</v>
      </c>
      <c r="B158" s="52" t="s">
        <v>21</v>
      </c>
      <c r="C158" s="52">
        <v>76.27</v>
      </c>
      <c r="D158" s="52">
        <v>76.290000000000006</v>
      </c>
      <c r="E158" s="52">
        <v>76.58</v>
      </c>
      <c r="F158" s="52">
        <v>76.61</v>
      </c>
      <c r="G158" s="52">
        <v>76.7</v>
      </c>
      <c r="H158" s="52">
        <v>76.75</v>
      </c>
      <c r="I158" s="52">
        <v>76.7</v>
      </c>
      <c r="J158" s="52">
        <v>76.8</v>
      </c>
      <c r="K158" s="52">
        <v>76.849999999999994</v>
      </c>
      <c r="L158" s="52">
        <v>76.8</v>
      </c>
      <c r="M158" s="52">
        <v>77</v>
      </c>
      <c r="N158" s="52">
        <v>77</v>
      </c>
      <c r="O158" s="30"/>
      <c r="P158" s="26"/>
      <c r="Q158" s="26"/>
      <c r="R158" s="26"/>
      <c r="S158" s="26"/>
      <c r="T158" s="26"/>
      <c r="U158" s="26"/>
      <c r="V158" s="26"/>
      <c r="W158" s="26"/>
    </row>
    <row r="159" spans="1:23" s="6" customFormat="1" ht="73.5" customHeight="1" x14ac:dyDescent="0.3">
      <c r="A159" s="12" t="s">
        <v>36</v>
      </c>
      <c r="B159" s="52" t="s">
        <v>21</v>
      </c>
      <c r="C159" s="52">
        <v>15.6</v>
      </c>
      <c r="D159" s="52">
        <v>15.65</v>
      </c>
      <c r="E159" s="52">
        <v>15.65</v>
      </c>
      <c r="F159" s="52">
        <v>15.65</v>
      </c>
      <c r="G159" s="52">
        <v>15.7</v>
      </c>
      <c r="H159" s="52">
        <v>15.8</v>
      </c>
      <c r="I159" s="52">
        <v>15.65</v>
      </c>
      <c r="J159" s="52">
        <v>15.7</v>
      </c>
      <c r="K159" s="52">
        <v>15.85</v>
      </c>
      <c r="L159" s="52">
        <v>15.65</v>
      </c>
      <c r="M159" s="52">
        <v>15.7</v>
      </c>
      <c r="N159" s="52">
        <v>15.9</v>
      </c>
      <c r="O159" s="30"/>
      <c r="P159" s="26"/>
      <c r="Q159" s="26"/>
      <c r="R159" s="26"/>
      <c r="S159" s="26"/>
      <c r="T159" s="26"/>
      <c r="U159" s="26"/>
      <c r="V159" s="26"/>
      <c r="W159" s="26"/>
    </row>
    <row r="160" spans="1:23" s="87" customFormat="1" ht="56.25" x14ac:dyDescent="0.3">
      <c r="A160" s="83" t="s">
        <v>116</v>
      </c>
      <c r="B160" s="84" t="s">
        <v>117</v>
      </c>
      <c r="C160" s="84">
        <v>25854</v>
      </c>
      <c r="D160" s="84">
        <v>27330</v>
      </c>
      <c r="E160" s="84">
        <v>28423</v>
      </c>
      <c r="F160" s="84">
        <f>E160*F161/100</f>
        <v>29275.69</v>
      </c>
      <c r="G160" s="84">
        <f>E160*G161/100</f>
        <v>29645.188999999998</v>
      </c>
      <c r="H160" s="84">
        <f>E160*H161%</f>
        <v>29702.034999999996</v>
      </c>
      <c r="I160" s="84">
        <f>F160*I161/100</f>
        <v>30153.9607</v>
      </c>
      <c r="J160" s="84">
        <f>G160*J161/100</f>
        <v>31127.448449999996</v>
      </c>
      <c r="K160" s="84">
        <f>H160*K161/100</f>
        <v>31335.646924999994</v>
      </c>
      <c r="L160" s="84">
        <f>I160*L161/100</f>
        <v>31058.579521</v>
      </c>
      <c r="M160" s="84">
        <f>I160*M161/100</f>
        <v>31661.658734999997</v>
      </c>
      <c r="N160" s="84">
        <f>K160*N161%</f>
        <v>33215.785740499996</v>
      </c>
      <c r="O160" s="85"/>
      <c r="P160" s="86"/>
      <c r="Q160" s="86"/>
      <c r="R160" s="86"/>
      <c r="S160" s="86"/>
      <c r="T160" s="86"/>
      <c r="U160" s="86"/>
      <c r="V160" s="86"/>
      <c r="W160" s="86"/>
    </row>
    <row r="161" spans="1:23" s="6" customFormat="1" ht="88.5" customHeight="1" x14ac:dyDescent="0.3">
      <c r="A161" s="12" t="s">
        <v>169</v>
      </c>
      <c r="B161" s="52" t="s">
        <v>112</v>
      </c>
      <c r="C161" s="52">
        <v>105.5</v>
      </c>
      <c r="D161" s="52">
        <v>105.7</v>
      </c>
      <c r="E161" s="52">
        <v>104</v>
      </c>
      <c r="F161" s="52">
        <v>103</v>
      </c>
      <c r="G161" s="52">
        <v>104.3</v>
      </c>
      <c r="H161" s="52">
        <v>104.5</v>
      </c>
      <c r="I161" s="52">
        <v>103</v>
      </c>
      <c r="J161" s="52">
        <v>105</v>
      </c>
      <c r="K161" s="52">
        <v>105.5</v>
      </c>
      <c r="L161" s="52">
        <v>103</v>
      </c>
      <c r="M161" s="52">
        <v>105</v>
      </c>
      <c r="N161" s="52">
        <v>106</v>
      </c>
      <c r="O161" s="30"/>
      <c r="P161" s="26"/>
      <c r="Q161" s="26"/>
      <c r="R161" s="26"/>
      <c r="S161" s="26"/>
      <c r="T161" s="26"/>
      <c r="U161" s="26"/>
      <c r="V161" s="26"/>
      <c r="W161" s="26"/>
    </row>
    <row r="162" spans="1:23" s="6" customFormat="1" ht="37.5" x14ac:dyDescent="0.3">
      <c r="A162" s="12" t="s">
        <v>24</v>
      </c>
      <c r="B162" s="52" t="s">
        <v>17</v>
      </c>
      <c r="C162" s="52">
        <v>0.7</v>
      </c>
      <c r="D162" s="52">
        <v>0.6</v>
      </c>
      <c r="E162" s="52">
        <v>5</v>
      </c>
      <c r="F162" s="52">
        <v>5</v>
      </c>
      <c r="G162" s="52">
        <v>4.3</v>
      </c>
      <c r="H162" s="52">
        <v>4.3</v>
      </c>
      <c r="I162" s="52">
        <v>3.2</v>
      </c>
      <c r="J162" s="52">
        <v>3</v>
      </c>
      <c r="K162" s="52">
        <v>3</v>
      </c>
      <c r="L162" s="52">
        <v>2</v>
      </c>
      <c r="M162" s="52">
        <v>1.5</v>
      </c>
      <c r="N162" s="52">
        <v>1.5</v>
      </c>
      <c r="O162" s="30"/>
      <c r="P162" s="26"/>
      <c r="Q162" s="26"/>
      <c r="R162" s="26"/>
      <c r="S162" s="26"/>
      <c r="T162" s="26"/>
      <c r="U162" s="26"/>
      <c r="V162" s="26"/>
      <c r="W162" s="26"/>
    </row>
    <row r="163" spans="1:23" s="6" customFormat="1" ht="66" customHeight="1" x14ac:dyDescent="0.3">
      <c r="A163" s="12" t="s">
        <v>170</v>
      </c>
      <c r="B163" s="52" t="s">
        <v>21</v>
      </c>
      <c r="C163" s="52">
        <v>6.8</v>
      </c>
      <c r="D163" s="52">
        <v>6.5</v>
      </c>
      <c r="E163" s="52">
        <v>7.5</v>
      </c>
      <c r="F163" s="52">
        <v>7.5</v>
      </c>
      <c r="G163" s="52">
        <v>7.2</v>
      </c>
      <c r="H163" s="52">
        <v>7.1</v>
      </c>
      <c r="I163" s="52">
        <v>7</v>
      </c>
      <c r="J163" s="52">
        <v>6.9</v>
      </c>
      <c r="K163" s="52">
        <v>6.8</v>
      </c>
      <c r="L163" s="52">
        <v>6.8</v>
      </c>
      <c r="M163" s="52">
        <v>6.8</v>
      </c>
      <c r="N163" s="52">
        <v>6.8</v>
      </c>
      <c r="O163" s="30"/>
      <c r="P163" s="26"/>
      <c r="Q163" s="26"/>
      <c r="R163" s="26"/>
      <c r="S163" s="26"/>
      <c r="T163" s="26"/>
      <c r="U163" s="26"/>
      <c r="V163" s="26"/>
      <c r="W163" s="26"/>
    </row>
    <row r="164" spans="1:23" s="6" customFormat="1" ht="92.25" customHeight="1" x14ac:dyDescent="0.2">
      <c r="A164" s="12" t="s">
        <v>171</v>
      </c>
      <c r="B164" s="52" t="s">
        <v>21</v>
      </c>
      <c r="C164" s="52">
        <v>0.55000000000000004</v>
      </c>
      <c r="D164" s="52">
        <v>0.5</v>
      </c>
      <c r="E164" s="52">
        <v>4.8</v>
      </c>
      <c r="F164" s="52">
        <v>4.8</v>
      </c>
      <c r="G164" s="52">
        <v>4.5</v>
      </c>
      <c r="H164" s="52">
        <v>4.5</v>
      </c>
      <c r="I164" s="52">
        <v>2.9</v>
      </c>
      <c r="J164" s="52">
        <v>2.8</v>
      </c>
      <c r="K164" s="52">
        <v>2.8</v>
      </c>
      <c r="L164" s="52">
        <v>2</v>
      </c>
      <c r="M164" s="52">
        <v>1.5</v>
      </c>
      <c r="N164" s="52">
        <v>1.5</v>
      </c>
      <c r="O164" s="70"/>
      <c r="P164" s="22"/>
      <c r="Q164" s="22"/>
      <c r="R164" s="22"/>
      <c r="S164" s="22"/>
      <c r="T164" s="22"/>
      <c r="U164" s="22"/>
      <c r="V164" s="22"/>
      <c r="W164" s="22"/>
    </row>
    <row r="165" spans="1:23" s="87" customFormat="1" ht="57.75" customHeight="1" x14ac:dyDescent="0.3">
      <c r="A165" s="83" t="s">
        <v>118</v>
      </c>
      <c r="B165" s="84" t="s">
        <v>197</v>
      </c>
      <c r="C165" s="84">
        <v>4853.8</v>
      </c>
      <c r="D165" s="84">
        <v>5093.6000000000004</v>
      </c>
      <c r="E165" s="84">
        <v>4961.2</v>
      </c>
      <c r="F165" s="84">
        <f>E165*F166/100</f>
        <v>5110.0360000000001</v>
      </c>
      <c r="G165" s="84">
        <f>E165*G166/100</f>
        <v>5174.5315999999993</v>
      </c>
      <c r="H165" s="84">
        <f>E165*H166%</f>
        <v>5184.4539999999997</v>
      </c>
      <c r="I165" s="84">
        <f>F165*I166/100</f>
        <v>5263.3370800000002</v>
      </c>
      <c r="J165" s="84">
        <f>G165*J166/100</f>
        <v>5433.2581799999998</v>
      </c>
      <c r="K165" s="84">
        <f>H165*K166%</f>
        <v>5469.5989699999991</v>
      </c>
      <c r="L165" s="84">
        <f>I165*L166/100</f>
        <v>5421.2371923999999</v>
      </c>
      <c r="M165" s="84">
        <f>I165*M166/100</f>
        <v>5526.5039340000003</v>
      </c>
      <c r="N165" s="84">
        <f>K165*N166%</f>
        <v>5797.7749081999991</v>
      </c>
      <c r="O165" s="85"/>
      <c r="P165" s="86"/>
      <c r="Q165" s="86"/>
      <c r="R165" s="86"/>
      <c r="S165" s="86"/>
      <c r="T165" s="86"/>
      <c r="U165" s="86"/>
      <c r="V165" s="86"/>
      <c r="W165" s="86"/>
    </row>
    <row r="166" spans="1:23" s="6" customFormat="1" ht="57.75" customHeight="1" x14ac:dyDescent="0.2">
      <c r="A166" s="12" t="s">
        <v>119</v>
      </c>
      <c r="B166" s="52" t="s">
        <v>112</v>
      </c>
      <c r="C166" s="52">
        <v>100.6</v>
      </c>
      <c r="D166" s="52">
        <v>104.9</v>
      </c>
      <c r="E166" s="52">
        <v>97.4</v>
      </c>
      <c r="F166" s="52">
        <v>103</v>
      </c>
      <c r="G166" s="52">
        <v>104.3</v>
      </c>
      <c r="H166" s="52">
        <v>104.5</v>
      </c>
      <c r="I166" s="52">
        <v>103</v>
      </c>
      <c r="J166" s="52">
        <v>105</v>
      </c>
      <c r="K166" s="52">
        <v>105.5</v>
      </c>
      <c r="L166" s="52">
        <v>103</v>
      </c>
      <c r="M166" s="52">
        <v>105</v>
      </c>
      <c r="N166" s="52">
        <v>106</v>
      </c>
      <c r="O166" s="70"/>
      <c r="P166" s="22"/>
      <c r="Q166" s="22"/>
      <c r="R166" s="22"/>
      <c r="S166" s="22"/>
      <c r="T166" s="22"/>
      <c r="U166" s="22"/>
      <c r="V166" s="22"/>
      <c r="W166" s="22"/>
    </row>
    <row r="167" spans="1:23" s="6" customFormat="1" ht="21" customHeight="1" x14ac:dyDescent="0.3">
      <c r="A167" s="12" t="s">
        <v>172</v>
      </c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30"/>
      <c r="P167" s="26"/>
      <c r="Q167" s="26"/>
      <c r="R167" s="26"/>
      <c r="S167" s="26"/>
      <c r="T167" s="26"/>
      <c r="U167" s="26"/>
      <c r="V167" s="26"/>
      <c r="W167" s="26"/>
    </row>
    <row r="168" spans="1:23" s="6" customFormat="1" ht="57.75" customHeight="1" x14ac:dyDescent="0.3">
      <c r="A168" s="12" t="s">
        <v>173</v>
      </c>
      <c r="B168" s="52" t="s">
        <v>112</v>
      </c>
      <c r="C168" s="52">
        <v>150</v>
      </c>
      <c r="D168" s="52">
        <v>98.7</v>
      </c>
      <c r="E168" s="52">
        <v>100</v>
      </c>
      <c r="F168" s="52">
        <v>98</v>
      </c>
      <c r="G168" s="52">
        <v>101</v>
      </c>
      <c r="H168" s="52">
        <v>101</v>
      </c>
      <c r="I168" s="52">
        <v>100</v>
      </c>
      <c r="J168" s="52">
        <v>102</v>
      </c>
      <c r="K168" s="52">
        <v>102</v>
      </c>
      <c r="L168" s="52">
        <v>100</v>
      </c>
      <c r="M168" s="52">
        <v>103</v>
      </c>
      <c r="N168" s="52">
        <v>103</v>
      </c>
      <c r="O168" s="30"/>
      <c r="P168" s="26"/>
      <c r="Q168" s="26"/>
      <c r="R168" s="26"/>
      <c r="S168" s="26"/>
      <c r="T168" s="26"/>
      <c r="U168" s="26"/>
      <c r="V168" s="26"/>
      <c r="W168" s="26"/>
    </row>
    <row r="169" spans="1:23" s="6" customFormat="1" ht="23.25" customHeight="1" x14ac:dyDescent="0.3">
      <c r="A169" s="12" t="s">
        <v>177</v>
      </c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30"/>
      <c r="P169" s="26"/>
      <c r="Q169" s="26"/>
      <c r="R169" s="26"/>
      <c r="S169" s="26"/>
      <c r="T169" s="26"/>
      <c r="U169" s="26"/>
      <c r="V169" s="26"/>
      <c r="W169" s="26"/>
    </row>
    <row r="170" spans="1:23" s="6" customFormat="1" ht="56.25" x14ac:dyDescent="0.3">
      <c r="A170" s="12" t="s">
        <v>26</v>
      </c>
      <c r="B170" s="52" t="s">
        <v>25</v>
      </c>
      <c r="C170" s="52">
        <v>7323</v>
      </c>
      <c r="D170" s="52">
        <v>7376</v>
      </c>
      <c r="E170" s="52">
        <v>7245</v>
      </c>
      <c r="F170" s="52">
        <v>7423</v>
      </c>
      <c r="G170" s="52">
        <v>7423</v>
      </c>
      <c r="H170" s="52">
        <v>7423</v>
      </c>
      <c r="I170" s="52">
        <v>7583</v>
      </c>
      <c r="J170" s="52">
        <v>7583</v>
      </c>
      <c r="K170" s="52">
        <v>7583</v>
      </c>
      <c r="L170" s="52">
        <v>7583</v>
      </c>
      <c r="M170" s="52">
        <v>7583</v>
      </c>
      <c r="N170" s="52">
        <v>7583</v>
      </c>
      <c r="O170" s="30"/>
      <c r="P170" s="26"/>
      <c r="Q170" s="26"/>
      <c r="R170" s="26"/>
      <c r="S170" s="26"/>
      <c r="T170" s="26"/>
      <c r="U170" s="26"/>
      <c r="V170" s="26"/>
      <c r="W170" s="26"/>
    </row>
    <row r="171" spans="1:23" s="6" customFormat="1" ht="18.75" x14ac:dyDescent="0.3">
      <c r="A171" s="12" t="s">
        <v>27</v>
      </c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30"/>
      <c r="P171" s="26"/>
      <c r="Q171" s="26"/>
      <c r="R171" s="26"/>
      <c r="S171" s="26"/>
      <c r="T171" s="26"/>
      <c r="U171" s="26"/>
      <c r="V171" s="26"/>
      <c r="W171" s="26"/>
    </row>
    <row r="172" spans="1:23" s="6" customFormat="1" ht="37.5" x14ac:dyDescent="0.3">
      <c r="A172" s="12" t="s">
        <v>28</v>
      </c>
      <c r="B172" s="52" t="s">
        <v>29</v>
      </c>
      <c r="C172" s="52">
        <v>43.2</v>
      </c>
      <c r="D172" s="52">
        <v>43.6</v>
      </c>
      <c r="E172" s="52">
        <v>43.9</v>
      </c>
      <c r="F172" s="52">
        <v>45.3</v>
      </c>
      <c r="G172" s="52">
        <v>45.3</v>
      </c>
      <c r="H172" s="52">
        <v>45.3</v>
      </c>
      <c r="I172" s="52">
        <v>45.5</v>
      </c>
      <c r="J172" s="52">
        <v>45.5</v>
      </c>
      <c r="K172" s="52">
        <v>45.5</v>
      </c>
      <c r="L172" s="52">
        <v>45.7</v>
      </c>
      <c r="M172" s="52">
        <v>45.7</v>
      </c>
      <c r="N172" s="52">
        <v>45.7</v>
      </c>
      <c r="O172" s="30"/>
      <c r="P172" s="26"/>
      <c r="Q172" s="26"/>
      <c r="R172" s="26"/>
      <c r="S172" s="26"/>
      <c r="T172" s="26"/>
      <c r="U172" s="26"/>
      <c r="V172" s="26"/>
      <c r="W172" s="26"/>
    </row>
    <row r="173" spans="1:23" s="6" customFormat="1" ht="62.25" customHeight="1" x14ac:dyDescent="0.2">
      <c r="A173" s="12" t="s">
        <v>30</v>
      </c>
      <c r="B173" s="52" t="s">
        <v>200</v>
      </c>
      <c r="C173" s="52">
        <v>14.8</v>
      </c>
      <c r="D173" s="52">
        <v>14.9</v>
      </c>
      <c r="E173" s="52">
        <v>15.2</v>
      </c>
      <c r="F173" s="52">
        <v>15.3</v>
      </c>
      <c r="G173" s="52">
        <v>15.3</v>
      </c>
      <c r="H173" s="52">
        <v>15.3</v>
      </c>
      <c r="I173" s="52">
        <v>15.3</v>
      </c>
      <c r="J173" s="52">
        <v>15.3</v>
      </c>
      <c r="K173" s="52">
        <v>15.3</v>
      </c>
      <c r="L173" s="52">
        <v>15.3</v>
      </c>
      <c r="M173" s="52">
        <v>15.3</v>
      </c>
      <c r="N173" s="52">
        <v>15.3</v>
      </c>
      <c r="O173" s="70"/>
      <c r="P173" s="22"/>
      <c r="Q173" s="22"/>
      <c r="R173" s="22"/>
      <c r="S173" s="22"/>
      <c r="T173" s="22"/>
      <c r="U173" s="22"/>
      <c r="V173" s="22"/>
      <c r="W173" s="22"/>
    </row>
    <row r="174" spans="1:23" s="6" customFormat="1" ht="37.5" x14ac:dyDescent="0.2">
      <c r="A174" s="12" t="s">
        <v>31</v>
      </c>
      <c r="B174" s="52" t="s">
        <v>200</v>
      </c>
      <c r="C174" s="52">
        <v>10.1</v>
      </c>
      <c r="D174" s="52">
        <v>10.199999999999999</v>
      </c>
      <c r="E174" s="52">
        <v>11.6</v>
      </c>
      <c r="F174" s="52">
        <v>11.6</v>
      </c>
      <c r="G174" s="52">
        <v>11.6</v>
      </c>
      <c r="H174" s="52">
        <v>11.6</v>
      </c>
      <c r="I174" s="52">
        <v>11.6</v>
      </c>
      <c r="J174" s="52">
        <v>11.6</v>
      </c>
      <c r="K174" s="52">
        <v>11.6</v>
      </c>
      <c r="L174" s="52">
        <v>11.6</v>
      </c>
      <c r="M174" s="52">
        <v>11.6</v>
      </c>
      <c r="N174" s="52">
        <v>11.6</v>
      </c>
      <c r="O174" s="70"/>
      <c r="P174" s="22"/>
      <c r="Q174" s="22"/>
      <c r="R174" s="22"/>
      <c r="S174" s="22"/>
      <c r="T174" s="22"/>
      <c r="U174" s="22"/>
      <c r="V174" s="22"/>
      <c r="W174" s="22"/>
    </row>
    <row r="175" spans="1:23" s="6" customFormat="1" ht="56.25" x14ac:dyDescent="0.3">
      <c r="A175" s="12" t="s">
        <v>32</v>
      </c>
      <c r="B175" s="52" t="s">
        <v>37</v>
      </c>
      <c r="C175" s="52">
        <v>559</v>
      </c>
      <c r="D175" s="52">
        <v>597</v>
      </c>
      <c r="E175" s="52">
        <v>615</v>
      </c>
      <c r="F175" s="52">
        <v>630</v>
      </c>
      <c r="G175" s="52">
        <v>630</v>
      </c>
      <c r="H175" s="52">
        <v>630</v>
      </c>
      <c r="I175" s="52">
        <v>644</v>
      </c>
      <c r="J175" s="52">
        <v>644</v>
      </c>
      <c r="K175" s="52">
        <v>644</v>
      </c>
      <c r="L175" s="52">
        <v>644</v>
      </c>
      <c r="M175" s="52">
        <v>644</v>
      </c>
      <c r="N175" s="52">
        <v>644</v>
      </c>
      <c r="O175" s="30"/>
      <c r="P175" s="26"/>
      <c r="Q175" s="26"/>
      <c r="R175" s="26"/>
      <c r="S175" s="26"/>
      <c r="T175" s="26"/>
      <c r="U175" s="26"/>
      <c r="V175" s="26"/>
      <c r="W175" s="26"/>
    </row>
    <row r="176" spans="1:23" s="6" customFormat="1" ht="18.75" x14ac:dyDescent="0.3">
      <c r="A176" s="12" t="s">
        <v>178</v>
      </c>
      <c r="B176" s="5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30"/>
      <c r="P176" s="26"/>
      <c r="Q176" s="26"/>
      <c r="R176" s="26"/>
      <c r="S176" s="26"/>
      <c r="T176" s="26"/>
      <c r="U176" s="26"/>
      <c r="V176" s="26"/>
      <c r="W176" s="26"/>
    </row>
    <row r="177" spans="1:23" s="6" customFormat="1" ht="63" customHeight="1" x14ac:dyDescent="0.3">
      <c r="A177" s="12" t="s">
        <v>33</v>
      </c>
      <c r="B177" s="5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30"/>
      <c r="P177" s="26"/>
      <c r="Q177" s="26"/>
      <c r="R177" s="26"/>
      <c r="S177" s="26"/>
      <c r="T177" s="26"/>
      <c r="U177" s="26"/>
      <c r="V177" s="26"/>
      <c r="W177" s="26"/>
    </row>
    <row r="178" spans="1:23" s="6" customFormat="1" ht="18.75" x14ac:dyDescent="0.3">
      <c r="A178" s="14" t="s">
        <v>100</v>
      </c>
      <c r="B178" s="16" t="s">
        <v>21</v>
      </c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18"/>
      <c r="N178" s="18"/>
      <c r="O178" s="70"/>
      <c r="P178" s="22"/>
      <c r="Q178" s="22"/>
      <c r="R178" s="22"/>
      <c r="S178" s="22"/>
      <c r="T178" s="22"/>
      <c r="U178" s="22"/>
      <c r="V178" s="22"/>
      <c r="W178" s="22"/>
    </row>
    <row r="179" spans="1:23" s="6" customFormat="1" ht="18.75" x14ac:dyDescent="0.3">
      <c r="A179" s="14" t="s">
        <v>204</v>
      </c>
      <c r="B179" s="16" t="s">
        <v>21</v>
      </c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18"/>
      <c r="N179" s="18"/>
      <c r="O179" s="30"/>
      <c r="P179" s="26"/>
      <c r="Q179" s="26"/>
      <c r="R179" s="26"/>
      <c r="S179" s="26"/>
      <c r="T179" s="26"/>
      <c r="U179" s="26"/>
      <c r="V179" s="26"/>
      <c r="W179" s="26"/>
    </row>
    <row r="180" spans="1:23" ht="18.75" x14ac:dyDescent="0.3">
      <c r="A180" s="14" t="s">
        <v>205</v>
      </c>
      <c r="B180" s="16" t="s">
        <v>21</v>
      </c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18"/>
      <c r="N180" s="18"/>
      <c r="O180" s="30"/>
      <c r="P180" s="26"/>
      <c r="Q180" s="26"/>
      <c r="R180" s="26"/>
      <c r="S180" s="26"/>
      <c r="T180" s="26"/>
      <c r="U180" s="26"/>
      <c r="V180" s="26"/>
      <c r="W180" s="26"/>
    </row>
    <row r="181" spans="1:23" ht="45" customHeight="1" x14ac:dyDescent="0.3">
      <c r="A181" s="64" t="s">
        <v>34</v>
      </c>
      <c r="B181" s="79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30"/>
      <c r="P181" s="26"/>
      <c r="Q181" s="26"/>
      <c r="R181" s="26"/>
      <c r="S181" s="26"/>
      <c r="T181" s="26"/>
      <c r="U181" s="26"/>
      <c r="V181" s="26"/>
      <c r="W181" s="26"/>
    </row>
    <row r="182" spans="1:23" ht="18.75" x14ac:dyDescent="0.3">
      <c r="A182" s="14" t="s">
        <v>100</v>
      </c>
      <c r="B182" s="16" t="s">
        <v>21</v>
      </c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18"/>
      <c r="N182" s="18"/>
      <c r="O182" s="30"/>
      <c r="P182" s="26"/>
      <c r="Q182" s="26"/>
      <c r="R182" s="26"/>
      <c r="S182" s="26"/>
      <c r="T182" s="26"/>
      <c r="U182" s="26"/>
      <c r="V182" s="26"/>
      <c r="W182" s="26"/>
    </row>
    <row r="183" spans="1:23" ht="18.75" x14ac:dyDescent="0.3">
      <c r="A183" s="14" t="s">
        <v>204</v>
      </c>
      <c r="B183" s="16" t="s">
        <v>21</v>
      </c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7"/>
      <c r="P183" s="7"/>
      <c r="Q183" s="7"/>
      <c r="R183" s="7"/>
      <c r="S183" s="7"/>
      <c r="T183" s="7"/>
      <c r="U183" s="7"/>
      <c r="V183" s="7"/>
      <c r="W183" s="7"/>
    </row>
    <row r="184" spans="1:23" ht="18.75" x14ac:dyDescent="0.3">
      <c r="A184" s="14" t="s">
        <v>205</v>
      </c>
      <c r="B184" s="16" t="s">
        <v>21</v>
      </c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7"/>
      <c r="P184" s="7"/>
      <c r="Q184" s="7"/>
      <c r="R184" s="7"/>
      <c r="S184" s="7"/>
      <c r="T184" s="7"/>
      <c r="U184" s="7"/>
      <c r="V184" s="7"/>
      <c r="W184" s="7"/>
    </row>
    <row r="185" spans="1:23" ht="45" customHeight="1" x14ac:dyDescent="0.3">
      <c r="A185" s="2" t="s">
        <v>101</v>
      </c>
      <c r="B185" s="1" t="s">
        <v>21</v>
      </c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t="18.75" x14ac:dyDescent="0.3">
      <c r="A186" s="5"/>
      <c r="B186" s="80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6"/>
      <c r="P186" s="6"/>
      <c r="Q186" s="6"/>
      <c r="R186" s="6"/>
      <c r="S186" s="6"/>
      <c r="T186" s="6"/>
      <c r="U186" s="6"/>
      <c r="V186" s="6"/>
      <c r="W186" s="6"/>
    </row>
    <row r="187" spans="1:23" ht="18.75" x14ac:dyDescent="0.3">
      <c r="A187" s="5"/>
      <c r="B187" s="80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6"/>
      <c r="P187" s="6"/>
      <c r="Q187" s="6"/>
      <c r="R187" s="6"/>
      <c r="S187" s="6"/>
      <c r="T187" s="6"/>
      <c r="U187" s="6"/>
      <c r="V187" s="6"/>
      <c r="W187" s="6"/>
    </row>
    <row r="188" spans="1:23" ht="18.75" x14ac:dyDescent="0.3">
      <c r="A188" s="5" t="s">
        <v>99</v>
      </c>
      <c r="B188" s="80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6"/>
      <c r="P188" s="6"/>
      <c r="Q188" s="6"/>
      <c r="R188" s="6"/>
      <c r="S188" s="6"/>
      <c r="T188" s="6"/>
      <c r="U188" s="6"/>
      <c r="V188" s="6"/>
      <c r="W188" s="6"/>
    </row>
    <row r="189" spans="1:23" ht="18.75" x14ac:dyDescent="0.3">
      <c r="A189" s="4" t="s">
        <v>103</v>
      </c>
      <c r="B189" s="80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</row>
    <row r="190" spans="1:23" ht="18.75" x14ac:dyDescent="0.3">
      <c r="A190" s="4" t="s">
        <v>102</v>
      </c>
      <c r="B190" s="80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</row>
    <row r="191" spans="1:23" x14ac:dyDescent="0.2">
      <c r="A191" s="6"/>
      <c r="B191" s="81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</row>
    <row r="192" spans="1:23" x14ac:dyDescent="0.2">
      <c r="A192" s="6"/>
      <c r="B192" s="81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</row>
    <row r="193" spans="1:15" x14ac:dyDescent="0.2">
      <c r="A193" s="6"/>
      <c r="B193" s="81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</row>
    <row r="194" spans="1:15" s="91" customFormat="1" ht="31.5" x14ac:dyDescent="0.45">
      <c r="A194" s="93" t="s">
        <v>206</v>
      </c>
      <c r="B194" s="93"/>
      <c r="C194" s="93"/>
      <c r="D194" s="90"/>
      <c r="E194" s="90"/>
      <c r="F194" s="90"/>
      <c r="G194" s="90"/>
      <c r="H194" s="90"/>
      <c r="I194" s="90"/>
      <c r="J194" s="90"/>
      <c r="K194" s="90"/>
      <c r="L194" s="90"/>
      <c r="M194" s="90"/>
      <c r="N194" s="90"/>
    </row>
    <row r="195" spans="1:15" s="91" customFormat="1" ht="31.5" x14ac:dyDescent="0.45">
      <c r="A195" s="93" t="s">
        <v>207</v>
      </c>
      <c r="B195" s="93"/>
      <c r="C195" s="93"/>
      <c r="D195" s="90"/>
      <c r="E195" s="90"/>
      <c r="F195" s="90"/>
      <c r="G195" s="90"/>
      <c r="H195" s="90"/>
      <c r="I195" s="90"/>
      <c r="J195" s="90"/>
      <c r="K195" s="90"/>
      <c r="L195" s="90"/>
      <c r="M195" s="90"/>
      <c r="N195" s="90"/>
    </row>
    <row r="196" spans="1:15" s="91" customFormat="1" ht="31.5" x14ac:dyDescent="0.45">
      <c r="A196" s="95" t="s">
        <v>208</v>
      </c>
      <c r="B196" s="95"/>
      <c r="C196" s="95"/>
      <c r="M196" s="96" t="s">
        <v>209</v>
      </c>
      <c r="N196" s="96"/>
      <c r="O196" s="96"/>
    </row>
  </sheetData>
  <mergeCells count="24">
    <mergeCell ref="F15:H15"/>
    <mergeCell ref="I15:K15"/>
    <mergeCell ref="L1:O1"/>
    <mergeCell ref="A194:C194"/>
    <mergeCell ref="A195:C195"/>
    <mergeCell ref="A196:C196"/>
    <mergeCell ref="M196:O196"/>
    <mergeCell ref="F11:H11"/>
    <mergeCell ref="B12:K12"/>
    <mergeCell ref="A81:L81"/>
    <mergeCell ref="A71:I71"/>
    <mergeCell ref="A68:E68"/>
    <mergeCell ref="F14:N14"/>
    <mergeCell ref="L15:N15"/>
    <mergeCell ref="B14:B17"/>
    <mergeCell ref="C15:C17"/>
    <mergeCell ref="D15:D17"/>
    <mergeCell ref="E15:E17"/>
    <mergeCell ref="A14:A17"/>
    <mergeCell ref="L3:O3"/>
    <mergeCell ref="L4:O4"/>
    <mergeCell ref="L2:O2"/>
    <mergeCell ref="L5:O5"/>
    <mergeCell ref="L6:O6"/>
  </mergeCells>
  <printOptions horizontalCentered="1" verticalCentered="1"/>
  <pageMargins left="0.78740157480314965" right="0.98425196850393704" top="1.3779527559055118" bottom="0.39370078740157483" header="0" footer="0"/>
  <pageSetup paperSize="9" scale="35" fitToHeight="0" orientation="landscape" useFirstPageNumber="1" r:id="rId1"/>
  <ignoredErrors>
    <ignoredError sqref="J98 K16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Васекина</cp:lastModifiedBy>
  <cp:lastPrinted>2020-11-12T09:04:21Z</cp:lastPrinted>
  <dcterms:created xsi:type="dcterms:W3CDTF">2013-05-25T16:45:04Z</dcterms:created>
  <dcterms:modified xsi:type="dcterms:W3CDTF">2020-11-12T09:16:30Z</dcterms:modified>
</cp:coreProperties>
</file>